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0Ksl9h32ifdy8xxQFBL+lRImWUXgWN16PSuYuc5g9zIdd2Qse5xEUS/95DUMpGGkvDk5s95kZ2bwOJMQKoaNFA==" workbookSaltValue="Mt1xchBatrZ7UiyAqvkRg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F16" i="8" s="1"/>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L10" i="2"/>
  <c r="AH14" i="16"/>
  <c r="L18" i="2"/>
  <c r="AO14" i="21"/>
  <c r="X16" i="16"/>
  <c r="X23" i="16" s="1"/>
  <c r="AP14" i="16"/>
  <c r="F11" i="16"/>
  <c r="BL11" i="16"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L17" i="14" l="1"/>
  <c r="E23" i="12"/>
  <c r="T31" i="8"/>
  <c r="Z14" i="17"/>
  <c r="V25" i="16"/>
  <c r="L9" i="2"/>
  <c r="L16" i="2"/>
  <c r="BK10" i="11"/>
  <c r="BL22" i="11"/>
  <c r="Q16" i="17"/>
  <c r="BK20" i="11"/>
  <c r="BF12" i="11"/>
  <c r="AZ11" i="11"/>
  <c r="BV20" i="16"/>
  <c r="BU13"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AL31" i="2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Y32" i="11"/>
  <c r="N32" i="16"/>
  <c r="R32" i="16"/>
  <c r="AM32" i="11"/>
  <c r="S32" i="11"/>
  <c r="BE32" i="21"/>
  <c r="BC32" i="16"/>
  <c r="AU32" i="21"/>
  <c r="AG32" i="17"/>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E32" i="16"/>
  <c r="AH32" i="16"/>
  <c r="E32" i="17"/>
  <c r="Q32" i="17"/>
  <c r="J32" i="16"/>
  <c r="AN32" i="16"/>
  <c r="AE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<sst xmlns="http://schemas.openxmlformats.org/spreadsheetml/2006/main" count="2654" uniqueCount="1185">
  <si>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</si>
  <si>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</si>
  <si>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</si>
  <si>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</si>
  <si>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</si>
  <si>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</si>
  <si>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</si>
  <si>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</si>
  <si>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</si>
  <si>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</si>
  <si>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</si>
  <si>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</si>
  <si>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</si>
  <si>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</si>
  <si>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</si>
  <si>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</si>
  <si>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</si>
  <si>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</si>
  <si>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</si>
  <si>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</si>
  <si>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</si>
  <si>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</si>
  <si>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</si>
  <si>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</si>
  <si>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</si>
  <si>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</si>
  <si>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</si>
  <si>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</si>
  <si>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</si>
  <si>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</si>
  <si>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</si>
  <si>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</si>
  <si>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</si>
  <si>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</si>
  <si>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</si>
  <si>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</si>
  <si>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</si>
  <si>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</si>
  <si>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</si>
  <si>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</si>
  <si>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</si>
  <si>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</si>
  <si>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</si>
  <si>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</si>
  <si>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</si>
  <si>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</si>
  <si>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</si>
  <si>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</si>
  <si>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</si>
  <si>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</si>
  <si>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</si>
  <si>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</si>
  <si>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</si>
  <si>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</si>
  <si>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</si>
  <si>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</si>
  <si>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</si>
  <si>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</si>
  <si>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</si>
  <si>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</si>
  <si>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</si>
  <si>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</si>
  <si>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</si>
  <si>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</si>
  <si>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</si>
  <si>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</si>
  <si>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</si>
  <si>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</si>
  <si>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</si>
  <si>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</si>
  <si>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</si>
  <si>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</si>
  <si>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</si>
  <si>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</si>
  <si>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</si>
  <si>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</si>
  <si>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</si>
  <si>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</si>
  <si>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</si>
  <si>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</si>
  <si>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</si>
  <si>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</si>
  <si>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</si>
  <si>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</si>
  <si>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</si>
  <si>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</si>
  <si>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</si>
  <si>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</si>
  <si>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</si>
  <si>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</si>
  <si>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</si>
  <si>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</si>
  <si>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</si>
  <si>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</si>
  <si>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</si>
  <si>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</si>
  <si>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</si>
  <si>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</si>
  <si>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</si>
  <si>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</si>
  <si>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</si>
  <si>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</si>
  <si>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</si>
  <si>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</si>
  <si>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</si>
  <si>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</si>
  <si>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</si>
  <si>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</si>
  <si>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</si>
  <si>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</si>
  <si>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</si>
  <si>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</si>
  <si>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</si>
  <si>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</si>
  <si>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</si>
  <si>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</si>
  <si>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</si>
  <si>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</si>
  <si>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</si>
  <si>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</si>
  <si>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</si>
  <si>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</si>
  <si>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</si>
  <si>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</si>
  <si>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</si>
  <si>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</si>
  <si>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</si>
  <si>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</si>
  <si>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</si>
  <si>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</si>
  <si>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</si>
  <si>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</si>
  <si>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</si>
  <si>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</si>
  <si>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</si>
  <si>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</si>
  <si>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</si>
  <si>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</si>
  <si>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</si>
  <si>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</si>
  <si>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</si>
  <si>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</si>
  <si>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</si>
  <si>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</si>
  <si>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</si>
  <si>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</si>
  <si>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</si>
  <si>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</si>
  <si>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</si>
  <si>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</si>
  <si>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</si>
  <si>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</si>
  <si>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</si>
  <si>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</si>
  <si>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</si>
  <si>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</si>
  <si>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</si>
  <si>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</si>
  <si>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</si>
  <si>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</si>
  <si>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</si>
  <si>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</si>
  <si>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</si>
  <si>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</si>
  <si>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</si>
  <si>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</si>
  <si>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</si>
  <si>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</si>
  <si>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</si>
  <si>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</si>
  <si>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</si>
  <si>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</si>
  <si>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</si>
  <si>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</si>
  <si>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</si>
  <si>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</si>
  <si>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</si>
  <si>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</si>
  <si>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</si>
  <si>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</si>
  <si>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</si>
  <si>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</si>
  <si>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</si>
  <si>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</si>
  <si>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</si>
  <si>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</si>
  <si>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</si>
  <si>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</si>
  <si>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</si>
  <si>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</si>
  <si>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</si>
  <si>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</si>
  <si>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</si>
  <si>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</si>
  <si>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</si>
  <si>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</si>
  <si>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</si>
  <si>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</si>
  <si>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</si>
  <si>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</si>
  <si>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</si>
  <si>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</si>
  <si>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</si>
  <si>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</si>
  <si>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</si>
  <si>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</si>
  <si>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</si>
  <si>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</si>
  <si>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</si>
  <si>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</si>
  <si>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</si>
  <si>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</si>
  <si>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</si>
  <si>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</si>
  <si>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</si>
  <si>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</si>
  <si>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</si>
  <si>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</si>
  <si>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</si>
  <si>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</si>
  <si>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</si>
  <si>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</si>
  <si>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</si>
  <si>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</si>
  <si>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</si>
  <si>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</si>
  <si>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</si>
  <si>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</si>
  <si>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</si>
  <si>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</si>
  <si>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</si>
  <si>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</si>
  <si>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</si>
  <si>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</si>
  <si>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</si>
  <si>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</si>
  <si>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</si>
  <si>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</si>
  <si>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</si>
  <si>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</si>
  <si>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</si>
  <si>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</si>
  <si>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</si>
  <si>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</si>
  <si>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</si>
  <si>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</si>
  <si>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</si>
  <si>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</si>
  <si>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</si>
  <si>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</si>
  <si>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</si>
  <si>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</si>
  <si>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</si>
  <si>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</si>
  <si>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</si>
  <si>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</si>
  <si>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</si>
  <si>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</si>
  <si>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</si>
  <si>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</si>
  <si>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</si>
  <si>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</si>
  <si>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</si>
  <si>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</si>
  <si>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</si>
  <si>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</si>
  <si>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</si>
  <si>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</si>
  <si>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</si>
  <si>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</si>
  <si>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</si>
  <si>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</si>
  <si>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</si>
  <si>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</si>
  <si>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</si>
  <si>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</si>
  <si>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</si>
  <si>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</si>
  <si>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</si>
  <si>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</si>
  <si>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</si>
  <si>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</si>
  <si>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</si>
  <si>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</si>
  <si>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</si>
  <si>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</si>
  <si>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</si>
  <si>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</si>
  <si>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</si>
  <si>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</si>
  <si>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</si>
  <si>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</si>
  <si>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</si>
  <si>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</si>
  <si>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</si>
  <si>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</si>
  <si>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</si>
  <si>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</si>
  <si>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</si>
  <si>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</si>
  <si>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</si>
  <si>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</si>
  <si>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</si>
  <si>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</si>
  <si>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</si>
  <si>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</si>
  <si>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</si>
  <si>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</si>
  <si>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</si>
  <si>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</si>
  <si>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</si>
  <si>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</si>
  <si>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</si>
  <si>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</si>
  <si>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</si>
  <si>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</si>
  <si>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</si>
  <si>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</si>
  <si>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</si>
  <si>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</si>
  <si>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</si>
  <si>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</si>
  <si>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</si>
  <si>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</si>
  <si>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</si>
  <si>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</si>
  <si>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</si>
  <si>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</si>
  <si>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</si>
  <si>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</si>
  <si>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</si>
  <si>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</si>
  <si>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</si>
  <si>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</si>
  <si>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</si>
  <si>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</si>
  <si>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</si>
  <si>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</si>
  <si>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</si>
  <si>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</si>
  <si>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</si>
  <si>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</si>
  <si>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</si>
  <si>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</si>
  <si>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</si>
  <si>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</si>
  <si>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</si>
  <si>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</si>
  <si>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</si>
  <si>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</si>
  <si>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</si>
  <si>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</si>
  <si>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</si>
  <si>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</si>
  <si>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</si>
  <si>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</si>
  <si>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</si>
  <si>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</si>
  <si>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</si>
  <si>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</si>
  <si>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</si>
  <si>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</si>
  <si>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</si>
  <si>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</si>
  <si>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</si>
  <si>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</si>
  <si>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</si>
  <si>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</si>
  <si>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</si>
  <si>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</si>
  <si>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</si>
  <si>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</si>
  <si>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</si>
  <si>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</si>
  <si>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</si>
  <si>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</si>
  <si>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</si>
  <si>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</si>
  <si>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</si>
  <si>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</si>
  <si>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</si>
  <si>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</si>
  <si>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</si>
  <si>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</si>
  <si>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</si>
  <si>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</si>
  <si>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</si>
  <si>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</si>
  <si>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</si>
  <si>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</si>
  <si>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</si>
  <si>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</si>
  <si>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</si>
  <si>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</si>
  <si>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</si>
  <si>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</si>
  <si>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</si>
  <si>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</si>
  <si>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</si>
  <si>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</si>
  <si>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</si>
  <si>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</si>
  <si>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</si>
  <si>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</si>
  <si>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</si>
  <si>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</si>
  <si>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</si>
  <si>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</si>
  <si>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</si>
  <si>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</si>
  <si>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</si>
  <si>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</si>
  <si>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</si>
  <si>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</si>
  <si>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</si>
  <si>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</si>
  <si>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</si>
  <si>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</si>
  <si>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</si>
  <si>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</si>
  <si>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</si>
  <si>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</si>
  <si>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</si>
  <si>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</si>
  <si>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</si>
  <si>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</si>
  <si>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</si>
  <si>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</si>
  <si>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</si>
  <si>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</si>
  <si>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</si>
  <si>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</si>
  <si>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</si>
  <si>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</si>
  <si>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</si>
  <si>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</si>
  <si>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</si>
  <si>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</si>
  <si>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</si>
  <si>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</si>
  <si>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</si>
  <si>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</si>
  <si>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</si>
  <si>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</si>
  <si>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</si>
  <si>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</si>
  <si>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</si>
  <si>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</si>
  <si>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</si>
  <si>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</si>
  <si>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</si>
  <si>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</si>
  <si>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</si>
  <si>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</si>
  <si>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</si>
  <si>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</si>
  <si>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</si>
  <si>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</si>
  <si>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</si>
  <si>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</si>
  <si>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</si>
  <si>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</si>
  <si>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</si>
  <si>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</si>
  <si>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</si>
  <si>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</si>
  <si>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</si>
  <si>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</si>
  <si>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</si>
  <si>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</si>
  <si>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</si>
  <si>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</si>
  <si>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</si>
  <si>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</si>
  <si>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</si>
  <si>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</si>
  <si>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</si>
  <si>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</si>
  <si>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</si>
  <si>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</si>
  <si>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</si>
  <si>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</si>
  <si>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</si>
  <si>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</si>
  <si>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</si>
  <si>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</si>
  <si>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</si>
  <si>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</si>
  <si>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</si>
  <si>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</si>
  <si>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</si>
  <si>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</si>
  <si>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</si>
  <si>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</si>
  <si>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</si>
  <si>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</si>
  <si>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</si>
  <si>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</si>
  <si>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</si>
  <si>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</si>
  <si>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</si>
  <si>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</si>
  <si>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</si>
  <si>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</si>
  <si>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</si>
  <si>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</si>
  <si>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</si>
  <si>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</si>
  <si>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</si>
  <si>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</si>
  <si>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</si>
  <si>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</si>
  <si>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</si>
  <si>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</si>
  <si>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</si>
  <si>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</si>
  <si>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</si>
  <si>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</si>
  <si>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</si>
  <si>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</si>
  <si>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</si>
  <si>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</si>
  <si>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</si>
  <si>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</si>
  <si>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</si>
  <si>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</si>
  <si>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</si>
  <si>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</si>
  <si>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</si>
  <si>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</si>
  <si>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</si>
  <si>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</si>
  <si>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</si>
  <si>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</si>
  <si>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</si>
  <si>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</si>
  <si>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</si>
  <si>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</si>
  <si>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</si>
  <si>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</si>
  <si>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</si>
  <si>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</si>
  <si>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</si>
  <si>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</si>
  <si>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</si>
  <si>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</si>
  <si>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</si>
  <si>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</si>
  <si>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</si>
  <si>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</si>
  <si>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</si>
  <si>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</si>
  <si>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</si>
  <si>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</si>
  <si>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</si>
  <si>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</si>
  <si>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</si>
  <si>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</si>
  <si>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</si>
  <si>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</si>
  <si>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</si>
  <si>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</si>
  <si>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</si>
  <si>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</si>
  <si>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</si>
  <si>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</si>
  <si>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</si>
  <si>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</si>
  <si>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</si>
  <si>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</si>
  <si>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</si>
  <si>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</si>
  <si>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</si>
  <si>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</si>
  <si>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</si>
  <si>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</si>
  <si>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</si>
  <si>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</si>
  <si>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</si>
  <si>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</si>
  <si>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</si>
  <si>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</si>
  <si>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</si>
  <si>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</si>
  <si>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</si>
  <si>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</si>
  <si>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</si>
  <si>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</si>
  <si>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</si>
  <si>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</si>
  <si>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</si>
  <si>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</si>
  <si>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</si>
  <si>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</si>
  <si>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</si>
  <si>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</si>
  <si>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</si>
  <si>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</si>
  <si>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</si>
  <si>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</si>
  <si>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</si>
  <si>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</si>
  <si>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</si>
  <si>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</si>
  <si>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</si>
  <si>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</si>
  <si>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</si>
  <si>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</si>
  <si>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</si>
  <si>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</si>
  <si>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</si>
  <si>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</si>
  <si>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</si>
  <si>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</si>
  <si>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</si>
  <si>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</si>
  <si>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</si>
  <si>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</si>
  <si>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</si>
  <si>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</si>
  <si>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</si>
  <si>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</si>
  <si>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</si>
  <si>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</si>
  <si>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</si>
  <si>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</si>
  <si>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</si>
  <si>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</si>
  <si>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</si>
  <si>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</si>
  <si>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</si>
  <si>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</si>
  <si>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</si>
  <si>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</si>
  <si>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</si>
  <si>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</si>
  <si>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</si>
  <si>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</si>
  <si>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</si>
  <si>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</si>
  <si>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</si>
  <si>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</si>
  <si>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</si>
  <si>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</si>
  <si>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</si>
  <si>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</si>
  <si>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</si>
  <si>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</si>
  <si>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</si>
  <si>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</si>
  <si>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</si>
  <si>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</si>
  <si>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</si>
  <si>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</si>
  <si>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</si>
  <si>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</si>
  <si>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</si>
  <si>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</si>
  <si>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</si>
  <si>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</si>
  <si>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</si>
  <si>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</si>
  <si>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</si>
  <si>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</si>
  <si>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</si>
  <si>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</si>
  <si>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</si>
  <si>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</si>
  <si>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</si>
  <si>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</si>
  <si>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</si>
  <si>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</si>
  <si>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</si>
  <si>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</si>
  <si>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</si>
  <si>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</si>
  <si>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</si>
  <si>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</si>
  <si>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</si>
  <si>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</si>
  <si>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</si>
  <si>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</si>
  <si>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</si>
  <si>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</si>
  <si>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</si>
  <si>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</si>
  <si>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</si>
  <si>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</si>
  <si>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</si>
  <si>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</si>
  <si>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</si>
  <si>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</si>
  <si>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</si>
  <si>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</si>
  <si>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</si>
  <si>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</si>
  <si>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</si>
  <si>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</si>
  <si>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</si>
  <si>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</si>
  <si>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</si>
  <si>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</si>
  <si>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</si>
  <si>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</si>
  <si>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</si>
  <si>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</si>
  <si>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</si>
  <si>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</si>
  <si>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</si>
  <si>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</si>
  <si>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</si>
  <si>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</si>
  <si>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</si>
  <si>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</si>
  <si>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</si>
  <si>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</si>
  <si>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</si>
  <si>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</si>
  <si>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</si>
  <si>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</si>
  <si>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</si>
  <si>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</si>
  <si>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</si>
  <si>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</si>
  <si>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</si>
  <si>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</si>
  <si>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</si>
  <si>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</si>
  <si>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</si>
  <si>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</si>
  <si>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</si>
  <si>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</si>
  <si>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</si>
  <si>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</si>
  <si>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</si>
  <si>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</si>
  <si>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</si>
  <si>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</si>
  <si>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</si>
  <si>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</si>
  <si>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</si>
  <si>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</si>
  <si>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</si>
  <si>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</si>
  <si>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</si>
  <si>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</si>
  <si>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</si>
  <si>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</si>
  <si>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</si>
  <si>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</si>
  <si>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</si>
  <si>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</si>
  <si>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</si>
  <si>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</si>
  <si>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</si>
  <si>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</si>
  <si>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</si>
  <si>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</si>
  <si>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</si>
  <si>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</si>
  <si>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</si>
  <si>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</si>
  <si>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</si>
  <si>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</si>
  <si>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</si>
  <si>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</si>
  <si>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</si>
  <si>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</si>
  <si>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</si>
  <si>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</si>
  <si>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</si>
  <si>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</si>
  <si>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</si>
  <si>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</si>
  <si>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</si>
  <si>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</si>
  <si>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</si>
  <si>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</si>
  <si>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</si>
  <si>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</si>
  <si>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</si>
  <si>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</si>
  <si>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</si>
  <si>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</si>
  <si>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</si>
  <si>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</si>
  <si>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</si>
  <si>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</si>
  <si>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</si>
  <si>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</si>
  <si>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</si>
  <si>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</si>
  <si>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</si>
  <si>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</si>
  <si>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</si>
  <si>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</si>
  <si>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</si>
  <si>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</si>
  <si>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</si>
  <si>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</si>
  <si>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</si>
  <si>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</si>
  <si>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</si>
  <si>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</si>
  <si>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</si>
  <si>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</si>
  <si>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</si>
  <si>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</si>
  <si>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</si>
  <si>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</si>
  <si>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</si>
  <si>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</si>
  <si>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</si>
  <si>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</si>
  <si>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</si>
  <si>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</si>
  <si>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</si>
  <si>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</si>
  <si>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</si>
  <si>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</si>
  <si>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</si>
  <si>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</si>
  <si>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</si>
  <si>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</si>
  <si>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</si>
  <si>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</si>
  <si>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</si>
  <si>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</si>
  <si>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</si>
  <si>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</si>
  <si>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</si>
  <si>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</si>
  <si>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</si>
  <si>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</si>
  <si>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</si>
  <si>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</si>
  <si>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</si>
  <si>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</si>
  <si>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</si>
  <si>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</si>
  <si>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</si>
  <si>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</si>
  <si>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</si>
  <si>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</si>
  <si>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</si>
  <si>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</si>
  <si>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</si>
  <si>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</si>
  <si>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</si>
  <si>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</si>
  <si>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</si>
  <si>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</si>
  <si>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</si>
  <si>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</si>
  <si>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</si>
  <si>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</si>
  <si>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</si>
  <si>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</si>
  <si>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</si>
  <si>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</si>
  <si>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</si>
  <si>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</si>
  <si>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</si>
  <si>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</si>
  <si>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</si>
  <si>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</si>
  <si>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</si>
  <si>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</si>
  <si>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</si>
  <si>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</si>
  <si>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</si>
  <si>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</si>
  <si>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</si>
  <si>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</si>
  <si>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</si>
  <si>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</si>
  <si>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</si>
  <si>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</si>
  <si>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</si>
  <si>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</si>
  <si>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</si>
  <si>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</si>
  <si>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</si>
  <si>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</si>
  <si>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</si>
  <si>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</si>
  <si>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</si>
  <si>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</si>
  <si>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</si>
  <si>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</si>
  <si>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</si>
  <si>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</si>
  <si>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</si>
  <si>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</si>
  <si>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</si>
  <si>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</si>
  <si>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</si>
  <si>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</si>
  <si>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</si>
  <si>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</si>
  <si>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</si>
  <si>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</si>
  <si>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</si>
  <si>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</si>
  <si>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</si>
  <si>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</si>
  <si>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</si>
  <si>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</si>
  <si>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</si>
  <si>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</si>
  <si>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</si>
  <si>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</si>
  <si>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</si>
  <si>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</si>
  <si>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</si>
  <si>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</si>
  <si>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</si>
  <si>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</si>
  <si>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</si>
  <si>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</si>
  <si>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</si>
  <si>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</si>
  <si>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</si>
  <si>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</si>
  <si>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</si>
  <si>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</si>
  <si>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</si>
  <si>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</si>
  <si>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</si>
  <si>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</si>
  <si>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</si>
  <si>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</si>
  <si>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</si>
  <si>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</si>
  <si>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</si>
  <si>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</si>
  <si>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</si>
  <si>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</si>
  <si>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</si>
  <si>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</si>
  <si>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</si>
  <si>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</si>
  <si>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</si>
  <si>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</si>
  <si>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</si>
  <si>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</si>
  <si>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</si>
  <si>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</si>
  <si>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</si>
  <si>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</si>
  <si>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</si>
  <si>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</si>
  <si>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</si>
  <si>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</si>
  <si>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</si>
  <si>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</si>
  <si>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</si>
  <si>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</si>
  <si>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</si>
  <si>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</si>
  <si>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</si>
  <si>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</si>
  <si>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</si>
  <si>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</si>
  <si>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</si>
  <si>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</si>
  <si>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</si>
  <si>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</si>
  <si>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</si>
  <si>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</si>
  <si>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</si>
  <si>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</si>
  <si>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</si>
  <si>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</si>
  <si>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</si>
  <si>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</si>
  <si>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</si>
  <si>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</si>
  <si>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</si>
  <si>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</si>
  <si>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</si>
  <si>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</si>
  <si>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</si>
  <si>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</si>
  <si>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</si>
  <si>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</si>
  <si>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</si>
  <si>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</si>
  <si>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</si>
  <si>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</si>
  <si>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</si>
  <si>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</si>
  <si>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</si>
  <si>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</si>
  <si>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</si>
  <si>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</si>
  <si>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</si>
  <si>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</si>
  <si>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</si>
  <si>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</si>
  <si>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</si>
  <si>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</si>
  <si>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</si>
  <si>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</si>
  <si>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</si>
  <si>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</si>
  <si>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</si>
  <si>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</si>
  <si>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</si>
  <si>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</si>
  <si>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</si>
  <si>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</si>
  <si>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</si>
  <si>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</si>
  <si>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</si>
  <si>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</si>
  <si>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</si>
  <si>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</si>
  <si>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</si>
  <si>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</si>
  <si>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</si>
  <si>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</si>
  <si>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</si>
  <si>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</si>
  <si>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</si>
  <si>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</si>
  <si>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</si>
  <si>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</si>
  <si>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</si>
  <si>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</si>
  <si>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</si>
  <si>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</si>
  <si>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</si>
  <si>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</si>
  <si>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</si>
  <si>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</si>
  <si>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</si>
  <si>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</si>
  <si>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</si>
  <si>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</si>
  <si>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</si>
  <si>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</si>
  <si>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</si>
  <si>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</si>
  <si>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</si>
  <si>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</si>
  <si>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</si>
  <si>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</si>
  <si>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</si>
  <si>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</si>
  <si>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</si>
  <si>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</si>
  <si>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</si>
  <si>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</si>
  <si>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</si>
  <si>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</si>
  <si>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</si>
  <si>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</si>
  <si>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</si>
  <si>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</si>
  <si>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</si>
  <si>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</si>
  <si>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</si>
  <si>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</si>
  <si>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</si>
  <si>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</si>
  <si>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</si>
  <si>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</si>
  <si>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</si>
  <si>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</si>
  <si>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</si>
  <si>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</si>
  <si>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</si>
  <si>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</si>
  <si>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</si>
  <si>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</si>
  <si>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</si>
  <si>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</si>
  <si>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</si>
  <si>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</si>
  <si>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</si>
  <si>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</si>
  <si>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</si>
  <si>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</si>
  <si>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</si>
  <si>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</si>
  <si>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</si>
  <si>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</si>
  <si>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</si>
  <si>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</si>
  <si>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</si>
  <si>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</si>
  <si>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</si>
  <si>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</si>
  <si>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</si>
  <si>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</si>
  <si>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</si>
  <si>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</si>
  <si>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</si>
  <si>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</si>
  <si>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</si>
  <si>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</si>
  <si>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</si>
  <si>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</si>
  <si>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</si>
  <si>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</si>
  <si>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</si>
  <si>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</si>
  <si>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</si>
  <si>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</si>
  <si>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</si>
  <si>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</si>
  <si>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</si>
  <si>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</si>
  <si>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</si>
  <si>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</si>
  <si>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</si>
  <si>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</si>
  <si>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</si>
  <si>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</si>
  <si>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</si>
  <si>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</si>
  <si>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</si>
  <si>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</si>
  <si>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</si>
  <si>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</si>
  <si>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</si>
  <si>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</si>
  <si>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</si>
  <si>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</si>
  <si>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</si>
  <si>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</si>
  <si>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</si>
  <si>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</si>
  <si>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</si>
  <si>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</si>
  <si>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</si>
  <si>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</si>
  <si>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</si>
  <si>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</si>
  <si>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</si>
  <si>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</si>
  <si>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</si>
  <si>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</si>
  <si>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</si>
  <si>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</si>
  <si>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</si>
  <si>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</si>
  <si>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</si>
  <si>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</si>
  <si>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</si>
  <si>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</si>
  <si>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</si>
  <si>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</si>
  <si>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</si>
  <si>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</si>
  <si>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</si>
  <si>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</si>
  <si>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</si>
  <si>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</si>
  <si>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</si>
  <si>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</si>
  <si>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</si>
  <si>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</si>
  <si>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</si>
  <si>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</si>
  <si>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</si>
  <si>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</si>
  <si>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</si>
  <si>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</si>
  <si>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</si>
  <si>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</si>
  <si>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</si>
  <si>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</si>
  <si>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</si>
  <si>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</si>
  <si>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</si>
  <si>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</si>
  <si>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</si>
  <si>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</si>
  <si>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</si>
  <si>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</si>
  <si>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</si>
  <si>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</si>
  <si>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ARONA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</si>
</sst>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CJta5xCWnm6PkTqQBftswAA9ovVzrv0f8DbZBqq6LSoJGAkTe0619J/4bkJqtHj897o1ANzgHnuqPScTwFeQ==" saltValue="2PPmCmh9YOt1hJaU3+yp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58.496299342105267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38</v>
      </c>
      <c r="D10" s="239">
        <f>IF(ISNUMBER(Datos!I10),Datos!I10," - ")</f>
        <v>38</v>
      </c>
      <c r="E10" s="240">
        <f>IF(ISNUMBER(Datos!J10),Datos!J10," - ")</f>
        <v>33</v>
      </c>
      <c r="F10" s="240">
        <f>IF(ISNUMBER(Datos!K10),Datos!K10," - ")</f>
        <v>39</v>
      </c>
      <c r="G10" s="1390" t="str">
        <f>IF(Datos!E10&lt;&gt;"",Datos!E10,Datos!D10)</f>
        <v>37</v>
      </c>
      <c r="H10" s="241">
        <f>IF(ISNUMBER(Datos!L10),Datos!L10," - ")</f>
        <v>32</v>
      </c>
      <c r="I10" s="1400" t="str">
        <f>IF(ISNUMBER(Datos!AS10/Datos!BM10),Datos!AS10/Datos!BM10," - ")</f>
        <v xml:space="preserve"> - </v>
      </c>
      <c r="J10" s="1401">
        <f>IF(ISNUMBER(Datos!BY10/Datos!CN10),Datos!BY10/Datos!CN10," - ")</f>
        <v>0</v>
      </c>
      <c r="K10" s="244">
        <f t="shared" ref="K10:K13" si="1">IF(ISNUMBER((E10-F10)/C10),(E10-F10)/C10," - ")</f>
        <v>-0.15789473684210525</v>
      </c>
      <c r="L10" s="1402">
        <f>IF(ISNUMBER(NºAsuntos!I10/NºAsuntos!G10),(NºAsuntos!I10/NºAsuntos!G10)*11," - ")</f>
        <v>9.0256410256410255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38</v>
      </c>
      <c r="D14" s="1407">
        <f>SUBTOTAL(9,D9:D13)</f>
        <v>38</v>
      </c>
      <c r="E14" s="1408">
        <f>SUBTOTAL(9,E9:E13)</f>
        <v>33</v>
      </c>
      <c r="F14" s="1409">
        <f>SUBTOTAL(9,F9:F13)</f>
        <v>39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3551</v>
      </c>
      <c r="D16" s="239">
        <f>IF(ISNUMBER(IF(D_I="SI",Datos!I16,Datos!I16+Datos!AC16)),IF(D_I="SI",Datos!I16,Datos!I16+Datos!AC16)," - ")</f>
        <v>3517</v>
      </c>
      <c r="E16" s="240">
        <f>IF(ISNUMBER(IF(D_I="SI",Datos!J16,Datos!J16+Datos!AD16)),IF(D_I="SI",Datos!J16,Datos!J16+Datos!AD16)," - ")</f>
        <v>3003</v>
      </c>
      <c r="F16" s="240">
        <f>IF(ISNUMBER(IF(D_I="SI",Datos!K16,Datos!K16+Datos!AE16)),IF(D_I="SI",Datos!K16,Datos!K16+Datos!AE16)," - ")</f>
        <v>2890</v>
      </c>
      <c r="G16" s="1390" t="str">
        <f>IF(Datos!E16&lt;&gt;"",Datos!E16,Datos!D16)</f>
        <v>03</v>
      </c>
      <c r="H16" s="241">
        <f>IF(ISNUMBER(IF(D_I="SI",Datos!L16,Datos!L16+Datos!AF16)),IF(D_I="SI",Datos!L16,Datos!L16+Datos!AF16)," - ")</f>
        <v>3664</v>
      </c>
      <c r="I16" s="1400" t="str">
        <f>IF(ISNUMBER(Datos!AS16/Datos!BM16),Datos!AS16/Datos!BM16," - ")</f>
        <v xml:space="preserve"> - </v>
      </c>
      <c r="J16" s="1401">
        <f>IF(ISNUMBER(Datos!BY16/Datos!CN16),Datos!BY16/Datos!CN16," - ")</f>
        <v>0</v>
      </c>
      <c r="K16" s="244">
        <f t="shared" ref="K16:K22" si="3">IF(ISNUMBER((E16-F16)/C16),(E16-F16)/C16," - ")</f>
        <v>3.1822021965643481E-2</v>
      </c>
      <c r="L16" s="1402">
        <f>IF(ISNUMBER(NºAsuntos!I16/NºAsuntos!G16),(NºAsuntos!I16/NºAsuntos!G16)*11," - ")</f>
        <v>13.946020761245675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8</v>
      </c>
      <c r="D17" s="239">
        <f>IF(ISNUMBER(IF(D_I="SI",Datos!I17,Datos!I17+Datos!AC17)),IF(D_I="SI",Datos!I17,Datos!I17+Datos!AC17)," - ")</f>
        <v>8</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8</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218</v>
      </c>
      <c r="D18" s="239">
        <f>IF(ISNUMBER(IF(D_I="SI",Datos!I18,Datos!I18+Datos!AC18)),IF(D_I="SI",Datos!I18,Datos!I18+Datos!AC18)," - ")</f>
        <v>218</v>
      </c>
      <c r="E18" s="240">
        <f>IF(ISNUMBER(IF(D_I="SI",Datos!J18,Datos!J18+Datos!AD18)),IF(D_I="SI",Datos!J18,Datos!J18+Datos!AD18)," - ")</f>
        <v>298</v>
      </c>
      <c r="F18" s="240">
        <f>IF(ISNUMBER(IF(D_I="SI",Datos!K18,Datos!K18+Datos!AE18)),IF(D_I="SI",Datos!K18,Datos!K18+Datos!AE18)," - ")</f>
        <v>328</v>
      </c>
      <c r="G18" s="1390" t="str">
        <f>IF(Datos!E18&lt;&gt;"",Datos!E18,Datos!D18)</f>
        <v>37</v>
      </c>
      <c r="H18" s="241">
        <f>IF(ISNUMBER(IF(D_I="SI",Datos!L18,Datos!L18+Datos!AF18)),IF(D_I="SI",Datos!L18,Datos!L18+Datos!AF18)," - ")</f>
        <v>188</v>
      </c>
      <c r="I18" s="1400" t="str">
        <f>IF(ISNUMBER(Datos!AS18/Datos!BM18),Datos!AS18/Datos!BM18," - ")</f>
        <v xml:space="preserve"> - </v>
      </c>
      <c r="J18" s="1401" t="str">
        <f>IF(ISNUMBER((Datos!BY18+Datos!BZ18)/Datos!CN18),(Datos!BY18+Datos!BZ18)/Datos!CN18," - ")</f>
        <v xml:space="preserve"> - </v>
      </c>
      <c r="K18" s="244">
        <f t="shared" si="3"/>
        <v>-0.13761467889908258</v>
      </c>
      <c r="L18" s="1402">
        <f>IF(ISNUMBER(NºAsuntos!I18/NºAsuntos!G18),(NºAsuntos!I18/NºAsuntos!G18)*11," - ")</f>
        <v>6.3048780487804876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3777</v>
      </c>
      <c r="D23" s="1407">
        <f>SUBTOTAL(9,D16:D22)</f>
        <v>3743</v>
      </c>
      <c r="E23" s="1408">
        <f>SUBTOTAL(9,E16:E22)</f>
        <v>3301</v>
      </c>
      <c r="F23" s="1408">
        <f>SUBTOTAL(9,F16:F22)</f>
        <v>3218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3815</v>
      </c>
      <c r="D31" s="1435">
        <f>SUBTOTAL(9,D9:D30)</f>
        <v>3781</v>
      </c>
      <c r="E31" s="1436">
        <f>SUBTOTAL(9,E9:E30)</f>
        <v>3334</v>
      </c>
      <c r="F31" s="1436">
        <f>SUBTOTAL(9,F9:F30)</f>
        <v>3257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5XzQKPpHJIk1HyTlBYfHj3iQg48HW3FqAnrg+N036MKHzD5zq/E/Zi5Y1i7dbOMsGEi8q2ZKTB3wDTuaRDXH3Q==" saltValue="Cm/lJpI4s+KxV86YgVxRY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Jwo4euSfcQM8xMjCjB3P+N+rRuDgtFuaYhIksCcoX7nZDxK1G2ak4185KZTaC7vVEeUCjz2Ou2yWf64rTtbsg==" saltValue="xaBMKmiOmm4AXNo5lQEY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12494</v>
      </c>
      <c r="J9" s="194">
        <v>2384</v>
      </c>
      <c r="K9" s="194">
        <v>2267</v>
      </c>
      <c r="L9" s="194">
        <v>12611</v>
      </c>
      <c r="M9" s="194">
        <v>526</v>
      </c>
      <c r="N9" s="194">
        <v>971</v>
      </c>
      <c r="O9" s="194">
        <v>1072</v>
      </c>
      <c r="P9" s="194">
        <v>453</v>
      </c>
      <c r="Q9" s="194">
        <v>192</v>
      </c>
      <c r="R9" s="194">
        <v>11022</v>
      </c>
      <c r="S9" s="194">
        <v>9857</v>
      </c>
      <c r="T9" s="194">
        <v>3040</v>
      </c>
      <c r="U9" s="194">
        <v>2043</v>
      </c>
      <c r="V9" s="194">
        <v>10854</v>
      </c>
      <c r="W9" s="194">
        <v>553</v>
      </c>
      <c r="X9" s="201">
        <v>820</v>
      </c>
      <c r="Y9" s="204">
        <v>357</v>
      </c>
      <c r="Z9" s="194">
        <v>130</v>
      </c>
      <c r="AA9" s="194">
        <v>165</v>
      </c>
      <c r="AB9" s="194">
        <v>322</v>
      </c>
      <c r="AC9" s="194">
        <v>0</v>
      </c>
      <c r="AD9" s="194">
        <v>0</v>
      </c>
      <c r="AE9" s="194">
        <v>0</v>
      </c>
      <c r="AF9" s="201">
        <v>0</v>
      </c>
      <c r="AG9" s="204">
        <v>284</v>
      </c>
      <c r="AH9" s="194">
        <v>142</v>
      </c>
      <c r="AI9" s="194">
        <v>90</v>
      </c>
      <c r="AJ9" s="205">
        <v>336</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10141</v>
      </c>
      <c r="AZ9" s="133">
        <f>IF(ISNUMBER(IF(J_V="SI",T9,T9+AH9)),IF(J_V="SI",T9,T9+AH9)," - ")</f>
        <v>3182</v>
      </c>
      <c r="BA9" s="134">
        <f>IF(ISNUMBER(IF(J_V="SI",U9,U9+AI9)),IF(J_V="SI",U9,U9+AI9)," - ")</f>
        <v>2133</v>
      </c>
      <c r="BB9" s="134">
        <f>IF(ISNUMBER(IF(J_V="SI",V9,V9+AJ9)),IF(J_V="SI",V9,V9+AJ9)," - ")</f>
        <v>11190</v>
      </c>
      <c r="BC9" s="135">
        <f>IF(ISNUMBER(X9),X9," - ")</f>
        <v>820</v>
      </c>
      <c r="BD9" s="136">
        <f>IF(ISNUMBER(BA9/AZ9),BA9/AZ9," - ")</f>
        <v>0.6703331238214959</v>
      </c>
      <c r="BE9" s="137">
        <f>IF(ISNUMBER(BB9/BA9),BB9/BA9, " - ")</f>
        <v>5.2461322081575243</v>
      </c>
      <c r="BF9" s="137">
        <f>IF(ISNUMBER(BC9/BA9),BC9/BA9, " - ")</f>
        <v>0.38443506797937177</v>
      </c>
      <c r="BG9" s="209">
        <f>IF(ISNUMBER((AY9+AZ9)/BA9),(AY9+AZ9)/BA9," - ")</f>
        <v>6.2461322081575243</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38</v>
      </c>
      <c r="J10" s="194">
        <v>33</v>
      </c>
      <c r="K10" s="194">
        <v>39</v>
      </c>
      <c r="L10" s="194">
        <v>32</v>
      </c>
      <c r="M10" s="194">
        <v>28</v>
      </c>
      <c r="N10" s="194">
        <v>5</v>
      </c>
      <c r="O10" s="194">
        <v>9</v>
      </c>
      <c r="P10" s="194">
        <v>13</v>
      </c>
      <c r="Q10" s="194">
        <v>3</v>
      </c>
      <c r="R10" s="194">
        <v>74</v>
      </c>
      <c r="S10" s="194">
        <v>59</v>
      </c>
      <c r="T10" s="194">
        <v>61</v>
      </c>
      <c r="U10" s="194">
        <v>81</v>
      </c>
      <c r="V10" s="194">
        <v>39</v>
      </c>
      <c r="W10" s="194">
        <v>36</v>
      </c>
      <c r="X10" s="201">
        <v>36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59</v>
      </c>
      <c r="AZ10" s="139">
        <f t="shared" si="0"/>
        <v>61</v>
      </c>
      <c r="BA10" s="139">
        <f t="shared" si="0"/>
        <v>81</v>
      </c>
      <c r="BB10" s="139">
        <f t="shared" si="0"/>
        <v>39</v>
      </c>
      <c r="BC10" s="135">
        <f t="shared" si="0"/>
        <v>36</v>
      </c>
      <c r="BD10" s="136">
        <f>IF(ISNUMBER(BA10/AZ10),BA10/AZ10," - ")</f>
        <v>1.3278688524590163</v>
      </c>
      <c r="BE10" s="137">
        <f>IF(ISNUMBER(BB10/BA10),BB10/BA10, " - ")</f>
        <v>0.48148148148148145</v>
      </c>
      <c r="BF10" s="137">
        <f>IF(ISNUMBER(BC10/BA10),BC10/BA10, " - ")</f>
        <v>0.44444444444444442</v>
      </c>
      <c r="BG10" s="209">
        <f>IF(ISNUMBER((AY10+AZ10)/BA10),(AY10+AZ10)/BA10," - ")</f>
        <v>1.4814814814814814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0</v>
      </c>
      <c r="J12" s="196">
        <v>0</v>
      </c>
      <c r="K12" s="196">
        <v>0</v>
      </c>
      <c r="L12" s="196">
        <v>0</v>
      </c>
      <c r="M12" s="196">
        <v>0</v>
      </c>
      <c r="N12" s="196">
        <v>0</v>
      </c>
      <c r="O12" s="194">
        <v>2</v>
      </c>
      <c r="P12" s="196">
        <v>0</v>
      </c>
      <c r="Q12" s="196">
        <v>35</v>
      </c>
      <c r="R12" s="196">
        <v>780</v>
      </c>
      <c r="S12" s="196">
        <v>1</v>
      </c>
      <c r="T12" s="196">
        <v>0</v>
      </c>
      <c r="U12" s="196">
        <v>0</v>
      </c>
      <c r="V12" s="196">
        <v>1</v>
      </c>
      <c r="W12" s="196">
        <v>0</v>
      </c>
      <c r="X12" s="202">
        <v>0</v>
      </c>
      <c r="Y12" s="204">
        <v>1</v>
      </c>
      <c r="Z12" s="194">
        <v>0</v>
      </c>
      <c r="AA12" s="194">
        <v>0</v>
      </c>
      <c r="AB12" s="194">
        <v>1</v>
      </c>
      <c r="AC12" s="196">
        <v>0</v>
      </c>
      <c r="AD12" s="196">
        <v>0</v>
      </c>
      <c r="AE12" s="196">
        <v>0</v>
      </c>
      <c r="AF12" s="202">
        <v>0</v>
      </c>
      <c r="AG12" s="215">
        <v>1</v>
      </c>
      <c r="AH12" s="196">
        <v>0</v>
      </c>
      <c r="AI12" s="196">
        <v>0</v>
      </c>
      <c r="AJ12" s="216">
        <v>1</v>
      </c>
      <c r="AK12" s="195">
        <v>0</v>
      </c>
      <c r="AL12" s="196">
        <v>0</v>
      </c>
      <c r="AM12" s="196">
        <v>0</v>
      </c>
      <c r="AN12" s="202">
        <v>0</v>
      </c>
      <c r="AO12" s="283">
        <v>0</v>
      </c>
      <c r="AP12" s="168">
        <v>0</v>
      </c>
      <c r="AQ12" s="168">
        <v>0</v>
      </c>
      <c r="AR12" s="167">
        <v>0</v>
      </c>
      <c r="AS12" s="381" t="s">
        <v>1067</v>
      </c>
      <c r="AT12" s="216"/>
      <c r="AU12" s="215"/>
      <c r="AV12" s="216"/>
      <c r="AW12" s="215"/>
      <c r="AX12" s="216"/>
      <c r="AY12" s="136">
        <f t="shared" si="1"/>
        <v>2</v>
      </c>
      <c r="AZ12" s="137">
        <f t="shared" si="1"/>
        <v>0</v>
      </c>
      <c r="BA12" s="137">
        <f t="shared" si="1"/>
        <v>0</v>
      </c>
      <c r="BB12" s="137">
        <f t="shared" si="1"/>
        <v>2</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12532</v>
      </c>
      <c r="J14" s="197">
        <f t="shared" si="7"/>
        <v>2417</v>
      </c>
      <c r="K14" s="197">
        <f t="shared" si="7"/>
        <v>2306</v>
      </c>
      <c r="L14" s="197">
        <f t="shared" si="7"/>
        <v>12643</v>
      </c>
      <c r="M14" s="197">
        <f t="shared" si="7"/>
        <v>554</v>
      </c>
      <c r="N14" s="197">
        <f t="shared" si="7"/>
        <v>976</v>
      </c>
      <c r="O14" s="197">
        <f t="shared" si="7"/>
        <v>1083</v>
      </c>
      <c r="P14" s="197">
        <f t="shared" si="7"/>
        <v>466</v>
      </c>
      <c r="Q14" s="197">
        <f t="shared" si="7"/>
        <v>230</v>
      </c>
      <c r="R14" s="197">
        <f t="shared" si="7"/>
        <v>11876</v>
      </c>
      <c r="S14" s="197">
        <f t="shared" si="7"/>
        <v>9917</v>
      </c>
      <c r="T14" s="197">
        <f t="shared" si="7"/>
        <v>3101</v>
      </c>
      <c r="U14" s="197">
        <f t="shared" si="7"/>
        <v>2124</v>
      </c>
      <c r="V14" s="197">
        <f t="shared" si="7"/>
        <v>10894</v>
      </c>
      <c r="W14" s="197">
        <f t="shared" si="7"/>
        <v>589</v>
      </c>
      <c r="X14" s="197">
        <f t="shared" si="7"/>
        <v>856</v>
      </c>
      <c r="Y14" s="197">
        <f t="shared" si="7"/>
        <v>358</v>
      </c>
      <c r="Z14" s="197">
        <f t="shared" si="7"/>
        <v>130</v>
      </c>
      <c r="AA14" s="197">
        <f t="shared" si="7"/>
        <v>165</v>
      </c>
      <c r="AB14" s="197">
        <f t="shared" si="7"/>
        <v>323</v>
      </c>
      <c r="AC14" s="197">
        <f t="shared" si="7"/>
        <v>0</v>
      </c>
      <c r="AD14" s="197">
        <f t="shared" si="7"/>
        <v>0</v>
      </c>
      <c r="AE14" s="197">
        <f t="shared" si="7"/>
        <v>0</v>
      </c>
      <c r="AF14" s="197">
        <f>SUBTOTAL(9,AF9:AF13)</f>
        <v>0</v>
      </c>
      <c r="AG14" s="197">
        <f t="shared" ref="AG14:AT14" si="8">SUBTOTAL(9,AG8:AG13)</f>
        <v>285</v>
      </c>
      <c r="AH14" s="197">
        <f t="shared" si="8"/>
        <v>142</v>
      </c>
      <c r="AI14" s="197">
        <f t="shared" si="8"/>
        <v>90</v>
      </c>
      <c r="AJ14" s="197">
        <f t="shared" si="8"/>
        <v>337</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10202</v>
      </c>
      <c r="AZ14" s="197">
        <f>SUBTOTAL(9,AZ8:AZ13)</f>
        <v>3243</v>
      </c>
      <c r="BA14" s="197">
        <f>SUBTOTAL(9,BA8:BA13)</f>
        <v>2214</v>
      </c>
      <c r="BB14" s="197">
        <f>SUBTOTAL(9,BB8:BB13)</f>
        <v>11231</v>
      </c>
      <c r="BC14" s="197">
        <f>SUBTOTAL(9,BC8:BC13)</f>
        <v>856</v>
      </c>
      <c r="BD14" s="219">
        <f>IF(ISNUMBER(BA14/AZ14),BA14/AZ14," - ")</f>
        <v>0.68270120259019429</v>
      </c>
      <c r="BE14" s="220">
        <f>IF(ISNUMBER(BB14/BA14),BB14/BA14, " - ")</f>
        <v>5.0727190605239389</v>
      </c>
      <c r="BF14" s="220">
        <f>IF(ISNUMBER(BC14/BA14),BC14/BA14, " - ")</f>
        <v>0.3866305329719964</v>
      </c>
      <c r="BG14" s="221">
        <f>IF(ISNUMBER((AY14+AZ14)/BA14),(AY14+AZ14)/BA14," - ")</f>
        <v>6.0727190605239389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3517</v>
      </c>
      <c r="J16" s="196">
        <v>3003</v>
      </c>
      <c r="K16" s="196">
        <v>2890</v>
      </c>
      <c r="L16" s="196">
        <v>3664</v>
      </c>
      <c r="M16" s="196">
        <v>453</v>
      </c>
      <c r="N16" s="196">
        <v>2051</v>
      </c>
      <c r="O16" s="194">
        <v>70</v>
      </c>
      <c r="P16" s="196">
        <v>100</v>
      </c>
      <c r="Q16" s="196">
        <v>77</v>
      </c>
      <c r="R16" s="196">
        <v>356</v>
      </c>
      <c r="S16" s="196">
        <v>3254</v>
      </c>
      <c r="T16" s="196">
        <v>2943</v>
      </c>
      <c r="U16" s="196">
        <v>2895</v>
      </c>
      <c r="V16" s="196">
        <v>3333</v>
      </c>
      <c r="W16" s="196">
        <v>400</v>
      </c>
      <c r="X16" s="202">
        <v>1738</v>
      </c>
      <c r="Y16" s="215">
        <v>0</v>
      </c>
      <c r="Z16" s="196">
        <v>0</v>
      </c>
      <c r="AA16" s="196">
        <v>0</v>
      </c>
      <c r="AB16" s="196">
        <v>0</v>
      </c>
      <c r="AC16" s="196">
        <v>30</v>
      </c>
      <c r="AD16" s="196">
        <v>76</v>
      </c>
      <c r="AE16" s="196">
        <v>74</v>
      </c>
      <c r="AF16" s="202">
        <v>32</v>
      </c>
      <c r="AG16" s="215">
        <v>0</v>
      </c>
      <c r="AH16" s="196">
        <v>0</v>
      </c>
      <c r="AI16" s="196">
        <v>0</v>
      </c>
      <c r="AJ16" s="216">
        <v>0</v>
      </c>
      <c r="AK16" s="195">
        <v>5</v>
      </c>
      <c r="AL16" s="196">
        <v>197</v>
      </c>
      <c r="AM16" s="196">
        <v>196</v>
      </c>
      <c r="AN16" s="202">
        <v>6</v>
      </c>
      <c r="AO16" s="283">
        <v>4</v>
      </c>
      <c r="AP16" s="168">
        <v>4</v>
      </c>
      <c r="AQ16" s="168">
        <v>4</v>
      </c>
      <c r="AR16" s="168">
        <v>4</v>
      </c>
      <c r="AS16" s="381" t="s">
        <v>694</v>
      </c>
      <c r="AT16" s="216" t="s">
        <v>424</v>
      </c>
      <c r="AU16" s="215"/>
      <c r="AV16" s="216"/>
      <c r="AW16" s="215"/>
      <c r="AX16" s="216"/>
      <c r="AY16" s="138">
        <f t="shared" ref="AY16:BB17" si="10">IF(ISNUMBER(IF(D_I="SI",S16,S16+AK16)),IF(D_I="SI",S16,S16+AK16)," - ")</f>
        <v>3254</v>
      </c>
      <c r="AZ16" s="139">
        <f t="shared" si="10"/>
        <v>2943</v>
      </c>
      <c r="BA16" s="139">
        <f t="shared" si="10"/>
        <v>2895</v>
      </c>
      <c r="BB16" s="139">
        <f t="shared" si="10"/>
        <v>3333</v>
      </c>
      <c r="BC16" s="135">
        <f>IF(ISNUMBER(W16),W16," - ")</f>
        <v>400</v>
      </c>
      <c r="BD16" s="136">
        <f>IF(ISNUMBER(BA16/AZ16),BA16/AZ16," - ")</f>
        <v>0.98369011213047908</v>
      </c>
      <c r="BE16" s="137">
        <f>IF(ISNUMBER(BB16/BA16),BB16/BA16, " - ")</f>
        <v>1.1512953367875647</v>
      </c>
      <c r="BF16" s="137">
        <f>IF(ISNUMBER(BC16/BA16),BC16/BA16, " - ")</f>
        <v>0.1381692573402418</v>
      </c>
      <c r="BG16" s="209">
        <f t="shared" ref="BG16:BG22" si="11">IF(ISNUMBER((AY16+AZ16)/BA16),(AY16+AZ16)/BA16," - ")</f>
        <v>2.1405872193436961</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v>
      </c>
      <c r="J17" s="196">
        <v>0</v>
      </c>
      <c r="K17" s="196">
        <v>0</v>
      </c>
      <c r="L17" s="196">
        <v>8</v>
      </c>
      <c r="M17" s="196">
        <v>0</v>
      </c>
      <c r="N17" s="196">
        <v>0</v>
      </c>
      <c r="O17" s="194">
        <v>0</v>
      </c>
      <c r="P17" s="196">
        <v>0</v>
      </c>
      <c r="Q17" s="196">
        <v>0</v>
      </c>
      <c r="R17" s="196">
        <v>0</v>
      </c>
      <c r="S17" s="196">
        <v>8</v>
      </c>
      <c r="T17" s="196">
        <v>0</v>
      </c>
      <c r="U17" s="196">
        <v>0</v>
      </c>
      <c r="V17" s="196">
        <v>8</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8</v>
      </c>
      <c r="AZ17" s="137">
        <f t="shared" si="10"/>
        <v>0</v>
      </c>
      <c r="BA17" s="137">
        <f t="shared" si="10"/>
        <v>0</v>
      </c>
      <c r="BB17" s="137">
        <f t="shared" si="10"/>
        <v>8</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218</v>
      </c>
      <c r="J18" s="196">
        <v>298</v>
      </c>
      <c r="K18" s="196">
        <v>328</v>
      </c>
      <c r="L18" s="196">
        <v>188</v>
      </c>
      <c r="M18" s="196">
        <v>70</v>
      </c>
      <c r="N18" s="196">
        <v>144</v>
      </c>
      <c r="O18" s="196">
        <v>12</v>
      </c>
      <c r="P18" s="196">
        <v>12</v>
      </c>
      <c r="Q18" s="196">
        <v>12</v>
      </c>
      <c r="R18" s="196">
        <v>0</v>
      </c>
      <c r="S18" s="196">
        <v>189</v>
      </c>
      <c r="T18" s="196">
        <v>245</v>
      </c>
      <c r="U18" s="196">
        <v>256</v>
      </c>
      <c r="V18" s="196">
        <v>178</v>
      </c>
      <c r="W18" s="196">
        <v>52</v>
      </c>
      <c r="X18" s="202">
        <v>175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189</v>
      </c>
      <c r="AZ18" s="139">
        <f t="shared" si="15"/>
        <v>245</v>
      </c>
      <c r="BA18" s="139">
        <f t="shared" si="15"/>
        <v>256</v>
      </c>
      <c r="BB18" s="139">
        <f t="shared" si="15"/>
        <v>178</v>
      </c>
      <c r="BC18" s="135">
        <f>IF(ISNUMBER(W18),W18," - ")</f>
        <v>52</v>
      </c>
      <c r="BD18" s="136">
        <f>IF(ISNUMBER(BA18/AZ18),BA18/AZ18," - ")</f>
        <v>1.0448979591836736</v>
      </c>
      <c r="BE18" s="137">
        <f>IF(ISNUMBER(BB18/BA18),BB18/BA18, " - ")</f>
        <v>0.6953125</v>
      </c>
      <c r="BF18" s="137">
        <f>IF(ISNUMBER(BC18/BA18),BC18/BA18, " - ")</f>
        <v>0.203125</v>
      </c>
      <c r="BG18" s="209">
        <f>IF(ISNUMBER((AY18+AZ18)/BA18),(AY18+AZ18)/BA18," - ")</f>
        <v>1.6953125</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3743</v>
      </c>
      <c r="J23" s="197">
        <f t="shared" si="21"/>
        <v>3301</v>
      </c>
      <c r="K23" s="197">
        <f t="shared" si="21"/>
        <v>3218</v>
      </c>
      <c r="L23" s="197">
        <f t="shared" si="21"/>
        <v>3860</v>
      </c>
      <c r="M23" s="197">
        <f t="shared" si="21"/>
        <v>523</v>
      </c>
      <c r="N23" s="197">
        <f t="shared" si="21"/>
        <v>2195</v>
      </c>
      <c r="O23" s="197">
        <f t="shared" si="21"/>
        <v>82</v>
      </c>
      <c r="P23" s="197">
        <f t="shared" si="21"/>
        <v>112</v>
      </c>
      <c r="Q23" s="197">
        <f t="shared" si="21"/>
        <v>89</v>
      </c>
      <c r="R23" s="197">
        <f t="shared" si="21"/>
        <v>356</v>
      </c>
      <c r="S23" s="197">
        <f t="shared" si="21"/>
        <v>3451</v>
      </c>
      <c r="T23" s="197">
        <f t="shared" si="21"/>
        <v>3188</v>
      </c>
      <c r="U23" s="197">
        <f t="shared" si="21"/>
        <v>3151</v>
      </c>
      <c r="V23" s="197">
        <f t="shared" si="21"/>
        <v>3519</v>
      </c>
      <c r="W23" s="197">
        <f t="shared" si="21"/>
        <v>452</v>
      </c>
      <c r="X23" s="197">
        <f t="shared" si="21"/>
        <v>1913</v>
      </c>
      <c r="Y23" s="197">
        <f t="shared" si="21"/>
        <v>0</v>
      </c>
      <c r="Z23" s="197">
        <f t="shared" si="21"/>
        <v>0</v>
      </c>
      <c r="AA23" s="197">
        <f t="shared" si="21"/>
        <v>0</v>
      </c>
      <c r="AB23" s="197">
        <f t="shared" si="21"/>
        <v>0</v>
      </c>
      <c r="AC23" s="197">
        <f t="shared" si="21"/>
        <v>30</v>
      </c>
      <c r="AD23" s="197">
        <f t="shared" si="21"/>
        <v>76</v>
      </c>
      <c r="AE23" s="197">
        <f t="shared" si="21"/>
        <v>74</v>
      </c>
      <c r="AF23" s="197">
        <f t="shared" si="21"/>
        <v>32</v>
      </c>
      <c r="AG23" s="197">
        <f t="shared" si="21"/>
        <v>0</v>
      </c>
      <c r="AH23" s="197">
        <f t="shared" si="21"/>
        <v>0</v>
      </c>
      <c r="AI23" s="197">
        <f t="shared" si="21"/>
        <v>0</v>
      </c>
      <c r="AJ23" s="197">
        <f t="shared" si="21"/>
        <v>0</v>
      </c>
      <c r="AK23" s="197">
        <f t="shared" si="21"/>
        <v>5</v>
      </c>
      <c r="AL23" s="197">
        <f t="shared" si="21"/>
        <v>197</v>
      </c>
      <c r="AM23" s="197">
        <f t="shared" si="21"/>
        <v>196</v>
      </c>
      <c r="AN23" s="197">
        <f t="shared" si="21"/>
        <v>6</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3451</v>
      </c>
      <c r="AZ23" s="197">
        <f>SUBTOTAL(9,AZ15:AZ22)</f>
        <v>3188</v>
      </c>
      <c r="BA23" s="197">
        <f>SUBTOTAL(9,BA15:BA22)</f>
        <v>3151</v>
      </c>
      <c r="BB23" s="197">
        <f>SUBTOTAL(9,BB15:BB22)</f>
        <v>3519</v>
      </c>
      <c r="BC23" s="197">
        <f>SUBTOTAL(9,BC15:BC22)</f>
        <v>452</v>
      </c>
      <c r="BD23" s="219">
        <f>IF(ISNUMBER(BA23/AZ23),BA23/AZ23," - ")</f>
        <v>0.98839397741530743</v>
      </c>
      <c r="BE23" s="220">
        <f>IF(ISNUMBER(BB23/BA23),BB23/BA23, " - ")</f>
        <v>1.1167883211678833</v>
      </c>
      <c r="BF23" s="220">
        <f>IF(ISNUMBER(BC23/BA23),BC23/BA23, " - ")</f>
        <v>0.14344652491272611</v>
      </c>
      <c r="BG23" s="221">
        <f>IF(ISNUMBER((AY23+AZ23)/BA23),(AY23+AZ23)/BA23," - ")</f>
        <v>2.1069501745477628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16275</v>
      </c>
      <c r="J31" s="144">
        <f t="shared" si="36"/>
        <v>5718</v>
      </c>
      <c r="K31" s="144">
        <f t="shared" si="36"/>
        <v>5524</v>
      </c>
      <c r="L31" s="144">
        <f t="shared" si="36"/>
        <v>16503</v>
      </c>
      <c r="M31" s="144">
        <f t="shared" si="36"/>
        <v>1077</v>
      </c>
      <c r="N31" s="144">
        <f t="shared" si="36"/>
        <v>3171</v>
      </c>
      <c r="O31" s="144">
        <f t="shared" si="36"/>
        <v>1165</v>
      </c>
      <c r="P31" s="144">
        <f t="shared" si="36"/>
        <v>578</v>
      </c>
      <c r="Q31" s="144">
        <f t="shared" si="36"/>
        <v>319</v>
      </c>
      <c r="R31" s="144">
        <f t="shared" si="36"/>
        <v>12232</v>
      </c>
      <c r="S31" s="144">
        <f t="shared" si="36"/>
        <v>13368</v>
      </c>
      <c r="T31" s="144">
        <f t="shared" si="36"/>
        <v>6289</v>
      </c>
      <c r="U31" s="144">
        <f t="shared" si="36"/>
        <v>5275</v>
      </c>
      <c r="V31" s="144">
        <f t="shared" si="36"/>
        <v>14413</v>
      </c>
      <c r="W31" s="144">
        <f t="shared" si="36"/>
        <v>1041</v>
      </c>
      <c r="X31" s="144">
        <f t="shared" si="36"/>
        <v>2769</v>
      </c>
      <c r="Y31" s="144">
        <f t="shared" si="36"/>
        <v>358</v>
      </c>
      <c r="Z31" s="144">
        <f t="shared" si="36"/>
        <v>130</v>
      </c>
      <c r="AA31" s="144">
        <f t="shared" si="36"/>
        <v>165</v>
      </c>
      <c r="AB31" s="144">
        <f t="shared" si="36"/>
        <v>323</v>
      </c>
      <c r="AC31" s="144">
        <f t="shared" si="36"/>
        <v>30</v>
      </c>
      <c r="AD31" s="144">
        <f t="shared" si="36"/>
        <v>76</v>
      </c>
      <c r="AE31" s="144">
        <f t="shared" si="36"/>
        <v>74</v>
      </c>
      <c r="AF31" s="144">
        <f t="shared" si="36"/>
        <v>32</v>
      </c>
      <c r="AG31" s="144">
        <f t="shared" si="36"/>
        <v>285</v>
      </c>
      <c r="AH31" s="144">
        <f t="shared" si="36"/>
        <v>142</v>
      </c>
      <c r="AI31" s="144">
        <f t="shared" si="36"/>
        <v>90</v>
      </c>
      <c r="AJ31" s="144">
        <f t="shared" si="36"/>
        <v>337</v>
      </c>
      <c r="AK31" s="144">
        <f t="shared" si="36"/>
        <v>5</v>
      </c>
      <c r="AL31" s="144">
        <f t="shared" si="36"/>
        <v>197</v>
      </c>
      <c r="AM31" s="144">
        <f t="shared" si="36"/>
        <v>196</v>
      </c>
      <c r="AN31" s="224">
        <f t="shared" si="36"/>
        <v>6</v>
      </c>
      <c r="AO31" s="225">
        <v>11</v>
      </c>
      <c r="AP31" s="225">
        <v>11</v>
      </c>
      <c r="AQ31" s="225">
        <v>11</v>
      </c>
      <c r="AR31" s="225">
        <v>11</v>
      </c>
      <c r="AS31" s="166">
        <f t="shared" si="36"/>
        <v>0</v>
      </c>
      <c r="AT31" s="166">
        <f t="shared" si="36"/>
        <v>0</v>
      </c>
      <c r="AU31" s="225"/>
      <c r="AV31" s="226"/>
      <c r="AW31" s="225"/>
      <c r="AX31" s="226"/>
      <c r="AY31" s="143">
        <f>SUBTOTAL(9,AY9:AY30)</f>
        <v>13653</v>
      </c>
      <c r="AZ31" s="144">
        <f>SUBTOTAL(9,AZ9:AZ30)</f>
        <v>6431</v>
      </c>
      <c r="BA31" s="144">
        <f>SUBTOTAL(9,BA9:BA30)</f>
        <v>5365</v>
      </c>
      <c r="BB31" s="144">
        <f>SUBTOTAL(9,BB9:BB30)</f>
        <v>14750</v>
      </c>
      <c r="BC31" s="145">
        <f>SUBTOTAL(9,BC9:BC30)</f>
        <v>1308</v>
      </c>
      <c r="BD31" s="227">
        <f>IF(ISNUMBER(BA31/AZ31),BA31/AZ31," - ")</f>
        <v>0.83424039807183947</v>
      </c>
      <c r="BE31" s="224">
        <f>IF(ISNUMBER(BB31/BA31),BB31/BA31, " - ")</f>
        <v>2.7493010251630943</v>
      </c>
      <c r="BF31" s="224">
        <f>IF(ISNUMBER(BC31/BA31),BC31/BA31, " - ")</f>
        <v>0.24380242311276795</v>
      </c>
      <c r="BG31" s="145">
        <f>IF(ISNUMBER((AY31+AZ31)/BA31),(AY31+AZ31)/BA31," - ")</f>
        <v>3.7435228331780057</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7SPUJALJ0vrxGg3ZQrRUq43kOhGI7ATYnUheuATbP1kq+qA5HtxvoNyPk0snBy2YJymGXGqYLTN6dw1PZoE6w==" saltValue="FDTFOhjYHr0LCEo1Jf/8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Au0paPl0eHzsmIzMtuWlZxuforbvQQb/QkBm/yQPu2qOdQVrbEXa2LE5vIFpWdSLj6FARG+btbWYgp7LJMVZg==" saltValue="N3rnJiVIsHieTILkcyhl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ARONA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130</v>
      </c>
      <c r="O9" s="549"/>
      <c r="P9" s="549"/>
      <c r="Q9" s="547">
        <f>IF(ISNUMBER(Datos!P9),Datos!P9,0)</f>
        <v>453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192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322</v>
      </c>
      <c r="AI9" s="549" t="str">
        <f>IF(ISNUMBER(Datos!CD9),Datos!CD9,"-")</f>
        <v>-</v>
      </c>
      <c r="AJ9" s="549" t="str">
        <f>IF(ISNUMBER(Datos!EN9),Datos!EN9," - ")</f>
        <v xml:space="preserve"> - </v>
      </c>
      <c r="AK9" s="549"/>
      <c r="AL9" s="550"/>
      <c r="AM9" s="766">
        <f>IF(ISNUMBER(Datos!R9),Datos!R9," - ")</f>
        <v>11022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526</v>
      </c>
      <c r="BD9" s="693">
        <f>IF(ISNUMBER(Datos!N9),Datos!N9," - ")</f>
        <v>971</v>
      </c>
      <c r="BE9" s="693" t="str">
        <f>IF(ISNUMBER(Datos!BW9),Datos!BW9," - ")</f>
        <v xml:space="preserve"> - </v>
      </c>
      <c r="BF9" s="762" t="str">
        <f>IF(ISNUMBER(Datos!BX9),Datos!BX9," - ")</f>
        <v xml:space="preserve"> - </v>
      </c>
      <c r="BG9" s="763">
        <f>IF(ISNUMBER(IF(J_V="SI",Datos!K9/Datos!J9,(Datos!K9+Datos!AA9)/(Datos!J9+Datos!Z9))),IF(J_V="SI",Datos!K9/Datos!J9,(Datos!K9+Datos!AA9)/(Datos!J9+Datos!Z9))," - ")</f>
        <v>0.96738265712012728</v>
      </c>
      <c r="BH9" s="764">
        <f>IF(ISNUMBER(((IF(J_V="SI",Datos!L9/Datos!K9,(Datos!L9+Datos!AB9)/(Datos!K9+Datos!AA9)))*11)/factor_trimestre),((IF(J_V="SI",Datos!L9/Datos!K9,(Datos!L9+Datos!AB9)/(Datos!K9+Datos!AA9)))*11)/factor_trimestre," - ")</f>
        <v>15.953536184210527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2.4254251463618624E-2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38</v>
      </c>
      <c r="G10" s="543">
        <f>IF(ISNUMBER(Datos!I10),Datos!I10," - ")</f>
        <v>38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39</v>
      </c>
      <c r="AC10" s="547">
        <f>IF(ISNUMBER(Datos!Q10),Datos!Q10," - ")</f>
        <v>3</v>
      </c>
      <c r="AD10" s="549"/>
      <c r="AE10" s="563"/>
      <c r="AF10" s="551">
        <f>IF(ISNUMBER(Datos!L10),Datos!L10,"-")</f>
        <v>32</v>
      </c>
      <c r="AG10" s="549"/>
      <c r="AH10" s="549"/>
      <c r="AI10" s="549"/>
      <c r="AJ10" s="549"/>
      <c r="AK10" s="549"/>
      <c r="AL10" s="550"/>
      <c r="AM10" s="766">
        <f>IF(ISNUMBER(Datos!R10),Datos!R10," - ")</f>
        <v>74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28</v>
      </c>
      <c r="BD10" s="693">
        <f>IF(ISNUMBER(Datos!N10),Datos!N10," - ")</f>
        <v>5</v>
      </c>
      <c r="BE10" s="693" t="str">
        <f>IF(ISNUMBER(Datos!BW10),Datos!BW10," - ")</f>
        <v xml:space="preserve"> - </v>
      </c>
      <c r="BF10" s="762" t="str">
        <f>IF(ISNUMBER(Datos!BX10),Datos!BX10," - ")</f>
        <v xml:space="preserve"> - </v>
      </c>
      <c r="BG10" s="763">
        <f>IF(ISNUMBER(Datos!K10/Datos!J10),Datos!K10/Datos!J10," - ")</f>
        <v>1.1818181818181819</v>
      </c>
      <c r="BH10" s="764">
        <f>IF(ISNUMBER(((Datos!L10/Datos!K10)*11)/factor_trimestre),((Datos!L10/Datos!K10)*11)/factor_trimestre," - ")</f>
        <v>2.4615384615384617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0.15625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780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-4.2944785276073622E-2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38</v>
      </c>
      <c r="G14" s="1197">
        <f t="shared" si="1"/>
        <v>38</v>
      </c>
      <c r="H14" s="1198">
        <f t="shared" si="1"/>
        <v>0</v>
      </c>
      <c r="I14" s="1197">
        <f t="shared" si="1"/>
        <v>0</v>
      </c>
      <c r="J14" s="1164">
        <f t="shared" si="1"/>
        <v>0</v>
      </c>
      <c r="K14" s="1164">
        <f t="shared" si="1"/>
        <v>0</v>
      </c>
      <c r="L14" s="1198">
        <f t="shared" si="1"/>
        <v>0</v>
      </c>
      <c r="M14" s="1198">
        <f t="shared" si="1"/>
        <v>0</v>
      </c>
      <c r="N14" s="1198">
        <f t="shared" si="1"/>
        <v>130</v>
      </c>
      <c r="O14" s="1199">
        <f t="shared" si="1"/>
        <v>0</v>
      </c>
      <c r="P14" s="1199">
        <f t="shared" si="1"/>
        <v>0</v>
      </c>
      <c r="Q14" s="1198">
        <f t="shared" si="1"/>
        <v>466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39</v>
      </c>
      <c r="AC14" s="1198">
        <f t="shared" si="2"/>
        <v>230</v>
      </c>
      <c r="AD14" s="1198">
        <f t="shared" si="2"/>
        <v>0</v>
      </c>
      <c r="AE14" s="1198">
        <f t="shared" si="2"/>
        <v>0</v>
      </c>
      <c r="AF14" s="1198">
        <f t="shared" si="2"/>
        <v>32</v>
      </c>
      <c r="AG14" s="1198">
        <f t="shared" si="2"/>
        <v>0</v>
      </c>
      <c r="AH14" s="1198">
        <f t="shared" si="2"/>
        <v>323</v>
      </c>
      <c r="AI14" s="1198">
        <f t="shared" si="2"/>
        <v>0</v>
      </c>
      <c r="AJ14" s="1198">
        <f t="shared" si="2"/>
        <v>0</v>
      </c>
      <c r="AK14" s="1198">
        <f t="shared" si="2"/>
        <v>0</v>
      </c>
      <c r="AL14" s="1198">
        <f t="shared" si="2"/>
        <v>0</v>
      </c>
      <c r="AM14" s="1198">
        <f t="shared" si="2"/>
        <v>11876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554</v>
      </c>
      <c r="BD14" s="1198">
        <f t="shared" si="2"/>
        <v>976</v>
      </c>
      <c r="BE14" s="1198">
        <f t="shared" si="2"/>
        <v>0</v>
      </c>
      <c r="BF14" s="1198">
        <f t="shared" si="2"/>
        <v>0</v>
      </c>
      <c r="BG14" s="1198">
        <f>IF(ISNUMBER(Datos!K14/Datos!J14),Datos!K14/Datos!J14," - ")</f>
        <v>0.95407529995862639</v>
      </c>
      <c r="BH14" s="1202">
        <f>IF(ISNUMBER(((Datos!L14/Datos!K14)*11)/factor_trimestre),((Datos!L14/Datos!K14)*11)/factor_trimestre," - ")</f>
        <v>16.447961838681699</v>
      </c>
      <c r="BI14" s="1198">
        <f>IF(ISNUMBER('Resol  Asuntos'!D14/NºAsuntos!G14),'Resol  Asuntos'!D14/NºAsuntos!G14," - ")</f>
        <v>0.22420072845002023</v>
      </c>
      <c r="BJ14" s="1198" t="str">
        <f>IF(ISNUMBER(Datos!CI14/Datos!CJ14),Datos!CI14/Datos!CJ14," - ")</f>
        <v xml:space="preserve"> - </v>
      </c>
      <c r="BK14" s="1198">
        <f>SUBTOTAL(9,BK8:BK13)</f>
        <v>0</v>
      </c>
      <c r="BL14" s="1198">
        <f>IF(ISNUMBER((I14-AB14+L14)/(F14)),(I14-AB14+L14)/(F14)," - ")</f>
        <v>-1.0263157894736843</v>
      </c>
      <c r="BM14" s="1203">
        <f>SUBTOTAL(9,BM9:BM13)</f>
        <v>0.137559466187545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3551</v>
      </c>
      <c r="G16" s="743">
        <f>IF(ISNUMBER(IF(D_I="SI",Datos!I16,Datos!I16+Datos!AC16)),IF(D_I="SI",Datos!I16,Datos!I16+Datos!AC16)," - ")</f>
        <v>3517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2890</v>
      </c>
      <c r="AC16" s="240">
        <f>IF(ISNUMBER(Datos!Q16),Datos!Q16," - ")</f>
        <v>77</v>
      </c>
      <c r="AD16" s="374"/>
      <c r="AE16" s="562"/>
      <c r="AF16" s="741">
        <f>IF(ISNUMBER(IF(D_I="SI",Datos!L16,Datos!L16+Datos!AF16)),IF(D_I="SI",Datos!L16,Datos!L16+Datos!AF16)," - ")</f>
        <v>3664</v>
      </c>
      <c r="AG16" s="374"/>
      <c r="AH16" s="374"/>
      <c r="AI16" s="374"/>
      <c r="AJ16" s="549"/>
      <c r="AK16" s="374"/>
      <c r="AL16" s="545"/>
      <c r="AM16" s="375">
        <f>IF(ISNUMBER(Datos!R16),Datos!R16," - ")</f>
        <v>356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453</v>
      </c>
      <c r="BD16" s="243">
        <f>IF(ISNUMBER(Datos!N16),Datos!N16," - ")</f>
        <v>2051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0.96237096237096242</v>
      </c>
      <c r="BH16" s="764">
        <f>IF(ISNUMBER(((IF(D_I="SI",Datos!L16/Datos!K16,(Datos!L16+Datos!AF16)/(Datos!K16+Datos!AE16)))*11)/factor_trimestre),((IF(D_I="SI",Datos!L16/Datos!K16,(Datos!L16+Datos!AF16)/(Datos!K16+Datos!AE16)))*11)/factor_trimestre," - ")</f>
        <v>3.8034602076124568</v>
      </c>
      <c r="BI16" s="266">
        <f>IF(ISNUMBER('Resol  Asuntos'!D16/NºAsuntos!G16),'Resol  Asuntos'!D16/NºAsuntos!G16," - ")</f>
        <v>0.15674740484429064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8</v>
      </c>
      <c r="G17" s="743">
        <f>IF(ISNUMBER(IF(D_I="SI",Datos!I17,Datos!I17+Datos!AC17)),IF(D_I="SI",Datos!I17,Datos!I17+Datos!AC17)," - ")</f>
        <v>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8</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328</v>
      </c>
      <c r="AC18" s="547">
        <f>IF(ISNUMBER(Datos!Q18),Datos!Q18," - ")</f>
        <v>12</v>
      </c>
      <c r="AD18" s="549"/>
      <c r="AE18" s="562"/>
      <c r="AF18" s="551">
        <f>IF(ISNUMBER(Datos!L18),Datos!L18,"-")</f>
        <v>188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70</v>
      </c>
      <c r="BD18" s="693">
        <f>IF(ISNUMBER(Datos!N18),Datos!N18," - ")</f>
        <v>144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1.1006711409395973</v>
      </c>
      <c r="BH18" s="764">
        <f>IF(ISNUMBER(((IF(D_I="SI",Datos!L18/Datos!K18,(Datos!L18+Datos!AF18)/(Datos!K18+Datos!AE18)))*11)/factor_trimestre),((IF(D_I="SI",Datos!L18/Datos!K18,(Datos!L18+Datos!AF18)/(Datos!K18+Datos!AE18)))*11)/factor_trimestre," - ")</f>
        <v>1.7195121951219512</v>
      </c>
      <c r="BI18" s="763">
        <f>IF(ISNUMBER('Resol  Asuntos'!D18/NºAsuntos!G18),'Resol  Asuntos'!D18/NºAsuntos!G18," - ")</f>
        <v>0.21341463414634146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3559</v>
      </c>
      <c r="G23" s="1197">
        <f>SUBTOTAL(9,G16:G22)</f>
        <v>3743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3218</v>
      </c>
      <c r="AC23" s="1198">
        <f t="shared" si="5"/>
        <v>89</v>
      </c>
      <c r="AD23" s="1198">
        <f t="shared" si="5"/>
        <v>0</v>
      </c>
      <c r="AE23" s="1198">
        <f t="shared" si="5"/>
        <v>0</v>
      </c>
      <c r="AF23" s="1198">
        <f t="shared" si="5"/>
        <v>3860</v>
      </c>
      <c r="AG23" s="1198">
        <f t="shared" si="5"/>
        <v>0</v>
      </c>
      <c r="AH23" s="1198">
        <f t="shared" si="5"/>
        <v>0</v>
      </c>
      <c r="AI23" s="1198">
        <f t="shared" si="5"/>
        <v>0</v>
      </c>
      <c r="AJ23" s="1198">
        <f t="shared" si="5"/>
        <v>0</v>
      </c>
      <c r="AK23" s="1198">
        <f t="shared" si="5"/>
        <v>0</v>
      </c>
      <c r="AL23" s="1198">
        <f t="shared" si="5"/>
        <v>0</v>
      </c>
      <c r="AM23" s="1198">
        <f t="shared" si="5"/>
        <v>356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523</v>
      </c>
      <c r="BD23" s="1198">
        <f t="shared" si="5"/>
        <v>2195</v>
      </c>
      <c r="BE23" s="1198">
        <f t="shared" si="5"/>
        <v>0</v>
      </c>
      <c r="BF23" s="1198">
        <f t="shared" si="5"/>
        <v>0</v>
      </c>
      <c r="BG23" s="1198">
        <f>IF(ISNUMBER(Datos!K23/Datos!J23),Datos!K23/Datos!J23," - ")</f>
        <v>0.97485610421084523</v>
      </c>
      <c r="BH23" s="1202">
        <f>IF(ISNUMBER(((Datos!L23/Datos!K23)*11)/factor_trimestre),((Datos!L23/Datos!K23)*11)/factor_trimestre," - ")</f>
        <v>3.5985083903045374</v>
      </c>
      <c r="BI23" s="1198">
        <f>SUBTOTAL(9,BI16:BI22)</f>
        <v>0.3701620389906321</v>
      </c>
      <c r="BJ23" s="1198">
        <f>SUBTOTAL(9,BJ16:BJ22)</f>
        <v>0</v>
      </c>
      <c r="BK23" s="1198">
        <f>SUBTOTAL(9,BK16:BK22)</f>
        <v>0</v>
      </c>
      <c r="BL23" s="1198">
        <f>IF(ISNUMBER((I23-AB23+L23)/(F23)),(I23-AB23+L23)/(F23)," - ")</f>
        <v>-0.90418656926102836</v>
      </c>
      <c r="BM23" s="1205">
        <f>IF(ISNUMBER((Datos!P23-Datos!Q23)/(Datos!R23-Datos!P23+Datos!Q23)),(Datos!P23-Datos!Q23)/(Datos!R23-Datos!P23+Datos!Q23)," - ")</f>
        <v>6.9069069069069067E-2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3597</v>
      </c>
      <c r="G31" s="1117">
        <f t="shared" si="18"/>
        <v>3781</v>
      </c>
      <c r="H31" s="1119">
        <f t="shared" si="18"/>
        <v>0</v>
      </c>
      <c r="I31" s="1117">
        <f t="shared" si="18"/>
        <v>0</v>
      </c>
      <c r="J31" s="1119">
        <f t="shared" si="18"/>
        <v>0</v>
      </c>
      <c r="K31" s="1119">
        <f t="shared" si="18"/>
        <v>0</v>
      </c>
      <c r="L31" s="1180">
        <f t="shared" si="18"/>
        <v>0</v>
      </c>
      <c r="M31" s="1180">
        <f t="shared" si="18"/>
        <v>0</v>
      </c>
      <c r="N31" s="1180">
        <f t="shared" si="18"/>
        <v>130</v>
      </c>
      <c r="O31" s="1180">
        <f t="shared" si="18"/>
        <v>0</v>
      </c>
      <c r="P31" s="1180">
        <f t="shared" si="18"/>
        <v>0</v>
      </c>
      <c r="Q31" s="1119">
        <f t="shared" si="18"/>
        <v>578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3257</v>
      </c>
      <c r="AC31" s="1118">
        <f t="shared" si="19"/>
        <v>319</v>
      </c>
      <c r="AD31" s="1118">
        <f t="shared" si="19"/>
        <v>0</v>
      </c>
      <c r="AE31" s="1118">
        <f t="shared" si="19"/>
        <v>0</v>
      </c>
      <c r="AF31" s="1125">
        <f t="shared" si="19"/>
        <v>3892</v>
      </c>
      <c r="AG31" s="1125">
        <f t="shared" si="19"/>
        <v>0</v>
      </c>
      <c r="AH31" s="1125">
        <f t="shared" si="19"/>
        <v>323</v>
      </c>
      <c r="AI31" s="1125">
        <f t="shared" si="19"/>
        <v>0</v>
      </c>
      <c r="AJ31" s="1118">
        <f t="shared" si="19"/>
        <v>0</v>
      </c>
      <c r="AK31" s="1125">
        <f t="shared" si="19"/>
        <v>0</v>
      </c>
      <c r="AL31" s="1125">
        <f t="shared" si="19"/>
        <v>0</v>
      </c>
      <c r="AM31" s="1125">
        <f t="shared" si="19"/>
        <v>12232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1077</v>
      </c>
      <c r="BD31" s="1117">
        <f t="shared" si="19"/>
        <v>3171</v>
      </c>
      <c r="BE31" s="1117">
        <f t="shared" si="19"/>
        <v>0</v>
      </c>
      <c r="BF31" s="1127">
        <f t="shared" si="19"/>
        <v>0</v>
      </c>
      <c r="BG31" s="1223">
        <f>IF(ISNUMBER(Datos!K31/Datos!J31),Datos!K31/Datos!J31," - ")</f>
        <v>0.96607205316544242</v>
      </c>
      <c r="BH31" s="1223">
        <f>IF(ISNUMBER(((Datos!L31/Datos!K31)*11)/factor_trimestre),((Datos!L31/Datos!K31)*11)/factor_trimestre," - ")</f>
        <v>8.9625271542360601</v>
      </c>
      <c r="BI31" s="1103">
        <f>IF(ISNUMBER(Datos!J31/Datos!I31),Datos!J31/Datos!I31," - ")</f>
        <v>0.35133640552995393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-0.90547678621073113</v>
      </c>
      <c r="BM31" s="1188">
        <f>IF(ISNUMBER((Datos!P31-Datos!Q31+R31)/(Datos!R31-Datos!P31+Datos!Q31-R31)),(Datos!P31-Datos!Q31+R31)/(Datos!R31-Datos!P31+Datos!Q31-R31)," - ")</f>
        <v>2.1632005345360396E-2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945.25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2.3295709014312749</v>
      </c>
      <c r="F33" s="673">
        <f>IF(ISNUMBER(STDEV(F8:F30)),STDEV(F8:F30),"-")</f>
        <v>1726.5407335947521</v>
      </c>
      <c r="G33" s="674">
        <f>IF(ISNUMBER(STDEV(G8:G30)),STDEV(G8:G30),"-")</f>
        <v>1659.6829946881853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1389.4616377781515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259.06721564532671</v>
      </c>
      <c r="BD33" s="673"/>
      <c r="BE33" s="673">
        <f>IF(ISNUMBER(STDEV(BE8:BE30)),STDEV(BE8:BE30),"-")</f>
        <v>0</v>
      </c>
      <c r="BF33" s="678">
        <f>IF(ISNUMBER(STDEV(BF8:BF30)),STDEV(BF8:BF30),"-")</f>
        <v>0</v>
      </c>
      <c r="BG33" s="1052">
        <f>IF(ISNUMBER(STDEV(BG8:BG30)),STDEV(BG8:BG30),"-")</f>
        <v>9.4965214272124038E-2</v>
      </c>
      <c r="BH33" s="1058">
        <f>IF(ISNUMBER(STDEV(BH8:BH30)),STDEV(BH8:BH30),"-")</f>
        <v>6.9143706107174072</v>
      </c>
      <c r="BI33" s="273">
        <f>IF(ISNUMBER(STDEV(BI8:BI30)),STDEV(BI8:BI30),"-")</f>
        <v>9.0965984824240814E-2</v>
      </c>
      <c r="BJ33" s="244" t="str">
        <f>IF(ISNUMBER(BL33/BM33),BL33/BM33," - ")</f>
        <v xml:space="preserve"> - </v>
      </c>
      <c r="BK33" s="709"/>
      <c r="BL33" s="681">
        <f>IF(ISNUMBER(STDEV(BL8:BL30)),STDEV(BL8:BL30),"-")</f>
        <v>8.6358399793394172E-2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lFdBaGvgb5xv3bZfWNjbYyPSXGFsjcRDoe9fzernlEHSUWxObjsauNoC9+bDoPH8YvOTl160LVaYki3WkdWCg==" saltValue="Tfv1C+IFQvYraTt2pS4y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ARONA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453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192</v>
      </c>
      <c r="AA9" s="551" t="str">
        <f>IF(ISNUMBER(IF(J_V="SI",Datos!L9,Datos!L9+Datos!AB9)-IF(Monitorios="SI",Datos!CD9,0)),
                          IF(J_V="SI",Datos!L9,Datos!L9+Datos!AB9)-IF(Monitorios="SI",Datos!CD9,0),
                          " - ")</f>
        <v xml:space="preserve"> - </v>
      </c>
      <c r="AB9" s="549"/>
      <c r="AC9" s="549"/>
      <c r="AD9" s="563"/>
      <c r="AE9" s="563">
        <f>IF(ISNUMBER(Datos!R9),Datos!R9," - ")</f>
        <v>11022</v>
      </c>
      <c r="AF9" s="693" t="str">
        <f>IF(ISNUMBER(Datos!BV9),Datos!BV9," - ")</f>
        <v xml:space="preserve"> - </v>
      </c>
      <c r="AG9" s="552" t="str">
        <f>IF(ISNUMBER(Datos!DV9),Datos!DV9," - ")</f>
        <v xml:space="preserve"> - </v>
      </c>
      <c r="AH9" s="553"/>
      <c r="AI9" s="554"/>
      <c r="AJ9" s="552">
        <f>IF(ISNUMBER(Datos!M9),Datos!M9," - ")</f>
        <v>526</v>
      </c>
      <c r="AK9" s="693">
        <f>IF(ISNUMBER(Datos!N9),Datos!N9," - ")</f>
        <v>971</v>
      </c>
      <c r="AL9" s="693" t="str">
        <f>IF(ISNUMBER(Datos!BW9),Datos!BW9," - ")</f>
        <v xml:space="preserve"> - </v>
      </c>
      <c r="AM9" s="762" t="str">
        <f>IF(ISNUMBER(Datos!BX9),Datos!BX9," - ")</f>
        <v xml:space="preserve"> - </v>
      </c>
      <c r="AN9" s="763"/>
      <c r="AO9" s="764">
        <f>IF(ISNUMBER(((NºAsuntos!I9/NºAsuntos!G9)*11)/factor_trimestre),((NºAsuntos!I9/NºAsuntos!G9)*11)/factor_trimestre," - ")</f>
        <v>15.953536184210527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2.4254251463618624E-2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38</v>
      </c>
      <c r="G10" s="552">
        <f>IF(ISNUMBER(Datos!I10),Datos!I10," - ")</f>
        <v>38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39</v>
      </c>
      <c r="Z10" s="805">
        <f>IF(ISNUMBER(Datos!Q10),Datos!Q10," - ")</f>
        <v>3</v>
      </c>
      <c r="AA10" s="551">
        <f>IF(ISNUMBER(Datos!L10),Datos!L10,"-")</f>
        <v>32</v>
      </c>
      <c r="AB10" s="549"/>
      <c r="AC10" s="549"/>
      <c r="AD10" s="563"/>
      <c r="AE10" s="563">
        <f>IF(ISNUMBER(Datos!R10),Datos!R10," - ")</f>
        <v>74</v>
      </c>
      <c r="AF10" s="693" t="str">
        <f>IF(ISNUMBER(Datos!BV10),Datos!BV10," - ")</f>
        <v xml:space="preserve"> - </v>
      </c>
      <c r="AG10" s="552" t="str">
        <f>IF(ISNUMBER(Datos!DV10),Datos!DV10," - ")</f>
        <v xml:space="preserve"> - </v>
      </c>
      <c r="AH10" s="553"/>
      <c r="AI10" s="554"/>
      <c r="AJ10" s="552">
        <f>IF(ISNUMBER(Datos!M10),Datos!M10," - ")</f>
        <v>28</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2.4615384615384617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0.15625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v>
      </c>
      <c r="AA12" s="551" t="str">
        <f>IF(ISNUMBER(IF(J_V="SI",Datos!L12,Datos!L12+Datos!AB12)-IF(Monitorios="SI",Datos!CD12,0)),
                          IF(J_V="SI",Datos!L12,Datos!L12+Datos!AB12)-IF(Monitorios="SI",Datos!CD12,0),
                          " - ")</f>
        <v xml:space="preserve"> - </v>
      </c>
      <c r="AB12" s="549"/>
      <c r="AC12" s="549"/>
      <c r="AD12" s="563"/>
      <c r="AE12" s="563">
        <f>IF(ISNUMBER(Datos!R12),Datos!R12," - ")</f>
        <v>780</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-4.2944785276073622E-2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38</v>
      </c>
      <c r="G14" s="1197">
        <f>SUBTOTAL(9,G8:G13)</f>
        <v>38</v>
      </c>
      <c r="H14" s="1211"/>
      <c r="I14" s="1197">
        <f t="shared" ref="I14:N14" si="1">SUBTOTAL(9,I8:I13)</f>
        <v>0</v>
      </c>
      <c r="J14" s="1164">
        <f t="shared" si="1"/>
        <v>0</v>
      </c>
      <c r="K14" s="1211">
        <f t="shared" si="1"/>
        <v>0</v>
      </c>
      <c r="L14" s="1211">
        <f t="shared" si="1"/>
        <v>0</v>
      </c>
      <c r="M14" s="1211">
        <f t="shared" si="1"/>
        <v>0</v>
      </c>
      <c r="N14" s="1211">
        <f t="shared" si="1"/>
        <v>466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39</v>
      </c>
      <c r="Z14" s="1210">
        <f t="shared" si="3"/>
        <v>230</v>
      </c>
      <c r="AA14" s="1199">
        <f t="shared" si="3"/>
        <v>32</v>
      </c>
      <c r="AB14" s="1199">
        <f t="shared" si="3"/>
        <v>0</v>
      </c>
      <c r="AC14" s="1199">
        <f t="shared" si="3"/>
        <v>0</v>
      </c>
      <c r="AD14" s="1199">
        <f t="shared" si="3"/>
        <v>0</v>
      </c>
      <c r="AE14" s="1199">
        <f t="shared" si="3"/>
        <v>11876</v>
      </c>
      <c r="AF14" s="1211">
        <f t="shared" si="3"/>
        <v>0</v>
      </c>
      <c r="AG14" s="1211">
        <f t="shared" si="3"/>
        <v>0</v>
      </c>
      <c r="AH14" s="1211">
        <f t="shared" si="3"/>
        <v>0</v>
      </c>
      <c r="AI14" s="1211">
        <f t="shared" si="3"/>
        <v>0</v>
      </c>
      <c r="AJ14" s="1211">
        <f t="shared" si="3"/>
        <v>554</v>
      </c>
      <c r="AK14" s="1211">
        <f t="shared" si="3"/>
        <v>976</v>
      </c>
      <c r="AL14" s="1211">
        <f t="shared" si="3"/>
        <v>0</v>
      </c>
      <c r="AM14" s="1211">
        <f t="shared" si="3"/>
        <v>0</v>
      </c>
      <c r="AN14" s="1211">
        <f t="shared" si="3"/>
        <v>0</v>
      </c>
      <c r="AO14" s="1203">
        <f>IF(ISNUMBER(((NºAsuntos!I14/NºAsuntos!G14)*11)/factor_trimestre),((NºAsuntos!I14/NºAsuntos!G14)*11)/factor_trimestre," - ")</f>
        <v>15.741804937272358</v>
      </c>
      <c r="AP14" s="1213" t="str">
        <f>IF(ISNUMBER(Datos!CI14/Datos!CJ14),Datos!CI14/Datos!CJ14," - ")</f>
        <v xml:space="preserve"> - </v>
      </c>
      <c r="AQ14" s="1236">
        <f t="shared" ref="AQ14:AV14" si="4">SUBTOTAL(9,AQ9:AQ13)</f>
        <v>0</v>
      </c>
      <c r="AR14" s="1236">
        <f t="shared" si="4"/>
        <v>0.137559466187545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3551</v>
      </c>
      <c r="G16" s="552">
        <f>IF(ISNUMBER(IF(D_I="SI",Datos!I16,Datos!I16+Datos!AC16)),IF(D_I="SI",Datos!I16,Datos!I16+Datos!AC16)," - ")</f>
        <v>3517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2890</v>
      </c>
      <c r="Z16" s="805">
        <f>IF(ISNUMBER(Datos!Q16),Datos!Q16," - ")</f>
        <v>77</v>
      </c>
      <c r="AA16" s="551">
        <f>IF(ISNUMBER(IF(D_I="SI",Datos!L16,Datos!L16+Datos!AF16)),IF(D_I="SI",Datos!L16,Datos!L16+Datos!AF16)," - ")</f>
        <v>3664</v>
      </c>
      <c r="AB16" s="549"/>
      <c r="AC16" s="549"/>
      <c r="AD16" s="563"/>
      <c r="AE16" s="563">
        <f>IF(ISNUMBER(Datos!R16),Datos!R16," - ")</f>
        <v>356</v>
      </c>
      <c r="AF16" s="693" t="str">
        <f>IF(ISNUMBER(Datos!BV16),Datos!BV16," - ")</f>
        <v xml:space="preserve"> - </v>
      </c>
      <c r="AG16" s="552"/>
      <c r="AH16" s="553"/>
      <c r="AI16" s="554"/>
      <c r="AJ16" s="552">
        <f>IF(ISNUMBER(Datos!M16),Datos!M16," - ")</f>
        <v>453</v>
      </c>
      <c r="AK16" s="693">
        <f>IF(ISNUMBER(Datos!N16),Datos!N16," - ")</f>
        <v>2051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3.8034602076124568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8</v>
      </c>
      <c r="G17" s="552">
        <f>IF(ISNUMBER(IF(D_I="SI",Datos!I17,Datos!I17+Datos!AC17)),IF(D_I="SI",Datos!I17,Datos!I17+Datos!AC17)," - ")</f>
        <v>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8</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328</v>
      </c>
      <c r="Z18" s="805">
        <f>IF(ISNUMBER(Datos!Q18),Datos!Q18," - ")</f>
        <v>12</v>
      </c>
      <c r="AA18" s="551">
        <f>IF(ISNUMBER(Datos!L18),Datos!L18,"-")</f>
        <v>188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70</v>
      </c>
      <c r="AK18" s="693">
        <f>IF(ISNUMBER(Datos!N18),Datos!N18," - ")</f>
        <v>144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1.7195121951219512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3559</v>
      </c>
      <c r="G23" s="1197">
        <f>SUBTOTAL(9,G16:G22)</f>
        <v>3743</v>
      </c>
      <c r="H23" s="1240">
        <f>SUBTOTAL(9,H16:H22)</f>
        <v>0</v>
      </c>
      <c r="I23" s="1217">
        <f>SUBTOTAL(9,I16:I22)</f>
        <v>0</v>
      </c>
      <c r="J23" s="1164">
        <f>SUBTOTAL(9,J15:J22)</f>
        <v>0</v>
      </c>
      <c r="K23" s="1240">
        <f t="shared" ref="K23:S23" si="5">SUBTOTAL(9,K16:K22)</f>
        <v>0</v>
      </c>
      <c r="L23" s="1240">
        <f t="shared" si="5"/>
        <v>0</v>
      </c>
      <c r="M23" s="1240">
        <f t="shared" si="5"/>
        <v>0</v>
      </c>
      <c r="N23" s="1240">
        <f t="shared" si="5"/>
        <v>112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3218</v>
      </c>
      <c r="Z23" s="1240">
        <f t="shared" si="6"/>
        <v>89</v>
      </c>
      <c r="AA23" s="1240">
        <f t="shared" si="6"/>
        <v>3860</v>
      </c>
      <c r="AB23" s="1240">
        <f t="shared" si="6"/>
        <v>0</v>
      </c>
      <c r="AC23" s="1240">
        <f t="shared" si="6"/>
        <v>0</v>
      </c>
      <c r="AD23" s="1240">
        <f t="shared" si="6"/>
        <v>0</v>
      </c>
      <c r="AE23" s="1240">
        <f t="shared" si="6"/>
        <v>356</v>
      </c>
      <c r="AF23" s="1240">
        <f t="shared" si="6"/>
        <v>0</v>
      </c>
      <c r="AG23" s="1240">
        <f t="shared" si="6"/>
        <v>0</v>
      </c>
      <c r="AH23" s="1240">
        <f t="shared" si="6"/>
        <v>0</v>
      </c>
      <c r="AI23" s="1240">
        <f t="shared" si="6"/>
        <v>0</v>
      </c>
      <c r="AJ23" s="1240">
        <f t="shared" si="6"/>
        <v>523</v>
      </c>
      <c r="AK23" s="1240">
        <f t="shared" si="6"/>
        <v>2195</v>
      </c>
      <c r="AL23" s="1240">
        <f t="shared" si="6"/>
        <v>0</v>
      </c>
      <c r="AM23" s="1240">
        <f t="shared" si="6"/>
        <v>0</v>
      </c>
      <c r="AN23" s="1240">
        <f t="shared" si="6"/>
        <v>0</v>
      </c>
      <c r="AO23" s="1242">
        <f>IF(ISNUMBER(((NºAsuntos!I23/NºAsuntos!G23)*11)/factor_trimestre),((NºAsuntos!I23/NºAsuntos!G23)*11)/factor_trimestre," - ")</f>
        <v>3.5985083903045374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3597</v>
      </c>
      <c r="G31" s="1117">
        <f t="shared" si="12"/>
        <v>3781</v>
      </c>
      <c r="H31" s="1118">
        <f t="shared" si="12"/>
        <v>0</v>
      </c>
      <c r="I31" s="1117">
        <f t="shared" si="12"/>
        <v>0</v>
      </c>
      <c r="J31" s="1119">
        <f t="shared" si="12"/>
        <v>0</v>
      </c>
      <c r="K31" s="1117">
        <f t="shared" si="12"/>
        <v>0</v>
      </c>
      <c r="L31" s="1120">
        <f t="shared" si="12"/>
        <v>0</v>
      </c>
      <c r="M31" s="1117">
        <f t="shared" si="12"/>
        <v>0</v>
      </c>
      <c r="N31" s="1118">
        <f t="shared" si="12"/>
        <v>578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3257</v>
      </c>
      <c r="Z31" s="1124">
        <f t="shared" si="13"/>
        <v>319</v>
      </c>
      <c r="AA31" s="1125">
        <f t="shared" si="13"/>
        <v>3892</v>
      </c>
      <c r="AB31" s="1125">
        <f t="shared" si="13"/>
        <v>0</v>
      </c>
      <c r="AC31" s="1125">
        <f t="shared" si="13"/>
        <v>0</v>
      </c>
      <c r="AD31" s="1126">
        <f t="shared" si="13"/>
        <v>0</v>
      </c>
      <c r="AE31" s="1126">
        <f t="shared" si="13"/>
        <v>12232</v>
      </c>
      <c r="AF31" s="1127">
        <f t="shared" si="13"/>
        <v>0</v>
      </c>
      <c r="AG31" s="1128">
        <f t="shared" si="13"/>
        <v>0</v>
      </c>
      <c r="AH31" s="1129">
        <f t="shared" si="13"/>
        <v>0</v>
      </c>
      <c r="AI31" s="1127">
        <f t="shared" si="13"/>
        <v>0</v>
      </c>
      <c r="AJ31" s="1117">
        <f t="shared" si="13"/>
        <v>1077</v>
      </c>
      <c r="AK31" s="1117">
        <f t="shared" si="13"/>
        <v>3171</v>
      </c>
      <c r="AL31" s="1117">
        <f t="shared" si="13"/>
        <v>0</v>
      </c>
      <c r="AM31" s="1130">
        <f t="shared" si="13"/>
        <v>0</v>
      </c>
      <c r="AN31" s="1120">
        <f>IF(ISNUMBER(Datos!K31/Datos!J31),Datos!K31/Datos!J31," - ")</f>
        <v>0.96607205316544242</v>
      </c>
      <c r="AO31" s="1120">
        <f>IF(ISNUMBER(FIND("06",Criterios!A8,1)),(IF(ISNUMBER(((Datos!R31/Datos!Q31)*11)/factor_trimestre),((Datos!R31/Datos!Q31)*11)/factor_trimestre," - ")),(IF(ISNUMBER(((Datos!L31/Datos!K31)*11)/factor_trimestre),((Datos!L31/Datos!K31)*11)/factor_trimestre," - ")))</f>
        <v>8.9625271542360601</v>
      </c>
      <c r="AP31" s="1131" t="str">
        <f>IF(ISNUMBER(Datos!CI31/Datos!CJ31),Datos!CI31/Datos!CJ31," - ")</f>
        <v xml:space="preserve"> - </v>
      </c>
      <c r="AQ31" s="1131">
        <f>IF(OR(ISNUMBER(FIND("01",Criterios!A8,1)),ISNUMBER(FIND("02",Criterios!A8,1)),ISNUMBER(FIND("03",Criterios!A8,1)),ISNUMBER(FIND("04",Criterios!A8,1))),(J31-Y31+K31)/(F31-K31),(I31-Y31+K31)/(F31-K31))</f>
        <v>-0.90547678621073113</v>
      </c>
      <c r="AR31" s="1131">
        <f>IF(ISNUMBER((Datos!P31-Datos!Q31+O31)/(Datos!R31-Datos!P31+Datos!Q31-O31)),(Datos!P31-Datos!Q31+O31)/(Datos!R31-Datos!P31+Datos!Q31-O31)," - ")</f>
        <v>2.1632005345360396E-2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945.25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1726.5407335947521</v>
      </c>
      <c r="G33" s="674">
        <f>IF(ISNUMBER(STDEV(G8:G30)),STDEV(G8:G30),"-")</f>
        <v>1659.6829946881853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259.06721564532671</v>
      </c>
      <c r="AK33" s="276"/>
      <c r="AL33" s="276">
        <f>IF(ISNUMBER(STDEV(AL8:AL30)),STDEV(AL8:AL30),"-")</f>
        <v>0</v>
      </c>
      <c r="AM33" s="278">
        <f>IF(ISNUMBER(STDEV(AM8:AM30)),STDEV(AM8:AM30),"-")</f>
        <v>0</v>
      </c>
      <c r="AN33" s="660">
        <f>IF(ISNUMBER(STDEV(AN8:AN30)),STDEV(AN8:AN30),"-")</f>
        <v>0</v>
      </c>
      <c r="AO33" s="661">
        <f>IF(ISNUMBER(STDEV(AO8:AO30)),STDEV(AO8:AO30),"-")</f>
        <v>6.7317426069353816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ut8ylZtVlspHtbUuOmI8saLVAY4UC+dhFX4DxcGx9Ld5A4RTsNc8H5Sobe7IrXzoiyNfr4sGlAb5JUu/lFULw==" saltValue="hiuCtW5o833a8xyvkhP8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ZsH+umBXlKXJ7ocGDFnLY80zeLNdhXMwTOeGj44QmReZ615JcqRDUQfx2zTfyNdOZkxRvOSk8oAhDm5h4rBJQ==" saltValue="/Ch0p6gFO2Sx0Jaa5JxP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WbkiRLK51EmnttQkaDc6NgEVbngZ3aTroDH43XcMbcfQebxdrI+QveWNGAGu0YuCXjjJShl+GC7qKWpJwqDTg==" saltValue="VWAhTSvNPs6w148+KvRH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ARONA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0.22420072845002023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0.15853385543397303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AFtINOSWfPs6t1qQEH1u8svQGk2vG0SQ2pCRy0eHZEK7iJHKtrtGl6tNPtFmLmrdCgsT8AeK7FNMOKWC5YkEA==" saltValue="dlSegi7sGkSQ34sZEwgo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WsE94nXr2iNBcjiZ8xWA1LNTcDmSfO9k7Qnu8Btr6l5eIgT5eAw3eHFRq/9aFE/eA0orPs+m9VzzOYIiu5mcag==" saltValue="koWZInPEa2s1cR+zdy/A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ARONA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12851</v>
      </c>
      <c r="D9" s="452">
        <f>IF(ISNUMBER(C9/Datos!BH9),C9/Datos!BH9," - ")</f>
        <v>2570.1999999999998</v>
      </c>
      <c r="E9" s="451">
        <f>IF(ISNUMBER(IF(J_V="SI",Datos!J9,Datos!J9+Datos!Z9)),IF(J_V="SI",Datos!J9,Datos!J9+Datos!Z9)," - ")</f>
        <v>2514</v>
      </c>
      <c r="F9" s="452">
        <f>IF(ISNUMBER(E9/B9),E9/B9," - ")</f>
        <v>419</v>
      </c>
      <c r="G9" s="451">
        <f>IF(ISNUMBER(IF(J_V="SI",Datos!K9,Datos!K9+Datos!AA9)),IF(J_V="SI",Datos!K9,Datos!K9+Datos!AA9)," - ")</f>
        <v>2432</v>
      </c>
      <c r="H9" s="452">
        <f>IF(ISNUMBER(G9/B9),G9/B9," - ")</f>
        <v>405.33333333333331</v>
      </c>
      <c r="I9" s="451">
        <f>IF(ISNUMBER(IF(J_V="SI",Datos!L9,Datos!L9+Datos!AB9)),IF(J_V="SI",Datos!L9,Datos!L9+Datos!AB9)," - ")</f>
        <v>12933</v>
      </c>
      <c r="J9" s="452">
        <f>IF(ISNUMBER(I9/B9),I9/B9," - ")</f>
        <v>2155.5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38</v>
      </c>
      <c r="D10" s="452">
        <f>IF(ISNUMBER(C10/Datos!BH10),C10/Datos!BH10," - ")</f>
        <v>38</v>
      </c>
      <c r="E10" s="451">
        <f>IF(ISNUMBER(Datos!J10),Datos!J10," - ")</f>
        <v>33</v>
      </c>
      <c r="F10" s="452">
        <f>IF(ISNUMBER(E10/B10),E10/B10," - ")</f>
        <v>33</v>
      </c>
      <c r="G10" s="451">
        <f>IF(ISNUMBER(Datos!K10),Datos!K10," - ")</f>
        <v>39</v>
      </c>
      <c r="H10" s="452">
        <f>IF(ISNUMBER(G10/B10),G10/B10," - ")</f>
        <v>39</v>
      </c>
      <c r="I10" s="451">
        <f>IF(ISNUMBER(Datos!L10),Datos!L10," - ")</f>
        <v>32</v>
      </c>
      <c r="J10" s="452">
        <f>IF(ISNUMBER(I10/B10),I10/B10," - ")</f>
        <v>32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12890</v>
      </c>
      <c r="D14" s="1147" t="str">
        <f>IF(ISNUMBER(C14/Datos!BI14),C14/Datos!BI14," - ")</f>
        <v xml:space="preserve"> - </v>
      </c>
      <c r="E14" s="1146">
        <f>SUBTOTAL(9,E8:E13)</f>
        <v>2547</v>
      </c>
      <c r="F14" s="1147">
        <f>IF(ISNUMBER(E14/B14),E14/B14," - ")</f>
        <v>363.85714285714283</v>
      </c>
      <c r="G14" s="1146">
        <f>SUBTOTAL(9,G8:G13)</f>
        <v>2471</v>
      </c>
      <c r="H14" s="1147">
        <f>IF(ISNUMBER(G14/B14),G14/B14," - ")</f>
        <v>353</v>
      </c>
      <c r="I14" s="1146">
        <f>SUBTOTAL(9,I8:I13)</f>
        <v>12966</v>
      </c>
      <c r="J14" s="1147">
        <f>IF(ISNUMBER(I14/B14),I14/B14," - ")</f>
        <v>1852.2857142857142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3517</v>
      </c>
      <c r="D16" s="452">
        <f>IF(ISNUMBER(C16/Datos!BH16),C16/Datos!BH16," - ")</f>
        <v>879.25</v>
      </c>
      <c r="E16" s="451">
        <f>IF(ISNUMBER(IF(D_I="SI",Datos!J16,Datos!J16+Datos!AD16)),IF(D_I="SI",Datos!J16,Datos!J16+Datos!AD16)," - ")</f>
        <v>3003</v>
      </c>
      <c r="F16" s="452">
        <f>IF(ISNUMBER(E16/B16),E16/B16," - ")</f>
        <v>750.75</v>
      </c>
      <c r="G16" s="451">
        <f>IF(ISNUMBER(IF(D_I="SI",Datos!K16,Datos!K16+Datos!AE16)),IF(D_I="SI",Datos!K16,Datos!K16+Datos!AE16)," - ")</f>
        <v>2890</v>
      </c>
      <c r="H16" s="452">
        <f>IF(ISNUMBER(G16/B16),G16/B16," - ")</f>
        <v>722.5</v>
      </c>
      <c r="I16" s="451">
        <f>IF(ISNUMBER(IF(D_I="SI",Datos!L16,Datos!L16+Datos!AF16)),IF(D_I="SI",Datos!L16,Datos!L16+Datos!AF16)," - ")</f>
        <v>3664</v>
      </c>
      <c r="J16" s="452">
        <f>IF(ISNUMBER(I16/B16),I16/B16," - ")</f>
        <v>916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8</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8</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218</v>
      </c>
      <c r="D18" s="452">
        <f>IF(ISNUMBER(C18/Datos!BH18),C18/Datos!BH18," - ")</f>
        <v>218</v>
      </c>
      <c r="E18" s="451">
        <f>IF(ISNUMBER(IF(D_I="SI",Datos!J18,Datos!J18+Datos!AD18)),IF(D_I="SI",Datos!J18,Datos!J18+Datos!AD18)," - ")</f>
        <v>298</v>
      </c>
      <c r="F18" s="452">
        <f>IF(ISNUMBER(E18/B18),E18/B18," - ")</f>
        <v>298</v>
      </c>
      <c r="G18" s="451">
        <f>IF(ISNUMBER(IF(D_I="SI",Datos!K18,Datos!K18+Datos!AE18)),IF(D_I="SI",Datos!K18,Datos!K18+Datos!AE18)," - ")</f>
        <v>328</v>
      </c>
      <c r="H18" s="452">
        <f>IF(ISNUMBER(G18/B18),G18/B18," - ")</f>
        <v>328</v>
      </c>
      <c r="I18" s="451">
        <f>IF(ISNUMBER(IF(D_I="SI",Datos!L18,Datos!L18+Datos!AF18)),IF(D_I="SI",Datos!L18,Datos!L18+Datos!AF18)," - ")</f>
        <v>188</v>
      </c>
      <c r="J18" s="452">
        <f>IF(ISNUMBER(I18/B18),I18/B18," - ")</f>
        <v>188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3743</v>
      </c>
      <c r="D23" s="1147" t="str">
        <f>IF(ISNUMBER(C23/Datos!BI23),C23/Datos!BI23," - ")</f>
        <v xml:space="preserve"> - </v>
      </c>
      <c r="E23" s="1146">
        <f>SUBTOTAL(9,E15:E22)</f>
        <v>3301</v>
      </c>
      <c r="F23" s="1147">
        <f>IF(ISNUMBER(E23/B23),E23/B23," - ")</f>
        <v>660.2</v>
      </c>
      <c r="G23" s="1146">
        <f>SUBTOTAL(9,G15:G22)</f>
        <v>3218</v>
      </c>
      <c r="H23" s="1147">
        <f>IF(ISNUMBER(G23/B23),G23/B23," - ")</f>
        <v>643.6</v>
      </c>
      <c r="I23" s="1146">
        <f>SUBTOTAL(9,I15:I22)</f>
        <v>3860</v>
      </c>
      <c r="J23" s="1147">
        <f>IF(ISNUMBER(I23/B23),I23/B23," - ")</f>
        <v>772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16633</v>
      </c>
      <c r="D31" s="1085" t="str">
        <f>IF(ISNUMBER(C31/Datos!BI31),C31/Datos!BI31," - ")</f>
        <v xml:space="preserve"> - </v>
      </c>
      <c r="E31" s="1084">
        <f>SUBTOTAL(9,E9:E30)</f>
        <v>5848</v>
      </c>
      <c r="F31" s="1085">
        <f>IF(ISNUMBER(E31/B31),E31/B31," - ")</f>
        <v>531.63636363636363</v>
      </c>
      <c r="G31" s="1084">
        <f>SUBTOTAL(9,G9:G30)</f>
        <v>5689</v>
      </c>
      <c r="H31" s="1085">
        <f>IF(ISNUMBER(G31/B31),G31/B31," - ")</f>
        <v>517.18181818181813</v>
      </c>
      <c r="I31" s="1084">
        <f>SUBTOTAL(9,I9:I30)</f>
        <v>16826</v>
      </c>
      <c r="J31" s="1085">
        <f>IF(ISNUMBER(I31/B31),I31/B31," - ")</f>
        <v>1529.6363636363637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6DsZvfc8968Q9ByNLlRpGc3wgkAkNrMLHx3vdzua6NNVXDqOgomcOXSFZEZsX63PKCWW4xpdselOYsMSH3AFA==" saltValue="9uxLftzHSN1L6RK3VHqey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ARONA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38</v>
      </c>
      <c r="G10" s="906">
        <f>IF(ISNUMBER(Datos!I10),Datos!I10," - ")</f>
        <v>38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39</v>
      </c>
      <c r="AC10" s="905" t="str">
        <f>IF(ISNUMBER(IF(D_I="SI",DatosP!K18,DatosP!K18+DatosP!AE18)),IF(D_I="SI",DatosP!K18,DatosP!K18+DatosP!AE18)," - ")</f>
        <v xml:space="preserve"> - </v>
      </c>
      <c r="AD10" s="907"/>
      <c r="AE10" s="907"/>
      <c r="AF10" s="910">
        <f>IF(ISNUMBER(Datos!L10),Datos!L10,"-")</f>
        <v>32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28</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2.4615384615384617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780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-4.2944785276073622E-2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38</v>
      </c>
      <c r="G14" s="1256">
        <f t="shared" si="0"/>
        <v>38</v>
      </c>
      <c r="H14" s="1256">
        <f t="shared" si="0"/>
        <v>0</v>
      </c>
      <c r="I14" s="1258">
        <f t="shared" si="0"/>
        <v>0</v>
      </c>
      <c r="J14" s="1257">
        <f t="shared" si="0"/>
        <v>0</v>
      </c>
      <c r="K14" s="1257">
        <f t="shared" si="0"/>
        <v>0</v>
      </c>
      <c r="L14" s="1259">
        <f t="shared" si="0"/>
        <v>0</v>
      </c>
      <c r="M14" s="1259">
        <f t="shared" si="0"/>
        <v>0</v>
      </c>
      <c r="N14" s="1257">
        <f t="shared" si="0"/>
        <v>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39</v>
      </c>
      <c r="AC14" s="1257">
        <f t="shared" si="1"/>
        <v>0</v>
      </c>
      <c r="AD14" s="1257">
        <f t="shared" si="1"/>
        <v>35</v>
      </c>
      <c r="AE14" s="1257">
        <f t="shared" si="1"/>
        <v>0</v>
      </c>
      <c r="AF14" s="1257">
        <f t="shared" si="1"/>
        <v>32</v>
      </c>
      <c r="AG14" s="1257">
        <f t="shared" si="1"/>
        <v>0</v>
      </c>
      <c r="AH14" s="1257">
        <f t="shared" si="1"/>
        <v>780</v>
      </c>
      <c r="AI14" s="1257">
        <f t="shared" si="1"/>
        <v>0</v>
      </c>
      <c r="AJ14" s="1257">
        <f t="shared" si="1"/>
        <v>0</v>
      </c>
      <c r="AK14" s="1257">
        <f t="shared" si="1"/>
        <v>0</v>
      </c>
      <c r="AL14" s="1257">
        <f t="shared" si="1"/>
        <v>28</v>
      </c>
      <c r="AM14" s="1257">
        <f t="shared" si="1"/>
        <v>5</v>
      </c>
      <c r="AN14" s="1257">
        <f t="shared" si="1"/>
        <v>0</v>
      </c>
      <c r="AO14" s="1257">
        <f t="shared" si="1"/>
        <v>0</v>
      </c>
      <c r="AP14" s="1262">
        <f>IF(ISNUMBER(((Datos!L14/Datos!K14)*11)/factor_trimestre),((Datos!L14/Datos!K14)*11)/factor_trimestre," - ")</f>
        <v>16.447961838681699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-1.0263157894736843</v>
      </c>
      <c r="AU14" s="1257" t="str">
        <f>IF(ISNUMBER((DatosP!#REF!-DatosP!#REF!+DatosP!#REF!)/(DatosP!#REF!+DatosP!#REF!-DatosP!#REF!-DatosP!#REF!)),(DatosP!#REF!-DatosP!#REF!+DatosP!#REF!)/(DatosP!#REF!+DatosP!#REF!-DatosP!#REF!-DatosP!#REF!)," - ")</f>
        <v xml:space="preserve"> - </v>
      </c>
      <c r="AV14" s="1263">
        <f>SUBTOTAL(9,AV9:AV13)</f>
        <v>-4.2944785276073622E-2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3.5985083903045374</v>
      </c>
      <c r="AQ23" s="1262">
        <f>IF(ISNUMBER(((Datos!M23/Datos!L23)*11)/factor_trimestre),((Datos!M23/Datos!L23)*11)/factor_trimestre," - ")</f>
        <v>0.40647668393782382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6.9069069069069067E-2</v>
      </c>
      <c r="AW23" s="1265">
        <f>IF(ISNUMBER((Datos!Q23-Datos!R23)/(Datos!S23-Datos!Q23+Datos!R23)),(Datos!Q23-Datos!R23)/(Datos!S23-Datos!Q23+Datos!R23)," - ")</f>
        <v>-7.1812802582033347E-2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38</v>
      </c>
      <c r="G31" s="1278">
        <f t="shared" si="8"/>
        <v>38</v>
      </c>
      <c r="H31" s="1278">
        <f t="shared" si="8"/>
        <v>0</v>
      </c>
      <c r="I31" s="1279">
        <f t="shared" si="8"/>
        <v>0</v>
      </c>
      <c r="J31" s="1280">
        <f t="shared" si="8"/>
        <v>0</v>
      </c>
      <c r="K31" s="1280">
        <f t="shared" si="8"/>
        <v>0</v>
      </c>
      <c r="L31" s="1280">
        <f t="shared" si="8"/>
        <v>0</v>
      </c>
      <c r="M31" s="1280">
        <f t="shared" si="8"/>
        <v>0</v>
      </c>
      <c r="N31" s="1279">
        <f t="shared" si="8"/>
        <v>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39</v>
      </c>
      <c r="AC31" s="1284">
        <f t="shared" si="9"/>
        <v>0</v>
      </c>
      <c r="AD31" s="1284">
        <f t="shared" si="9"/>
        <v>35</v>
      </c>
      <c r="AE31" s="1284">
        <f t="shared" si="9"/>
        <v>0</v>
      </c>
      <c r="AF31" s="1285">
        <f t="shared" si="9"/>
        <v>32</v>
      </c>
      <c r="AG31" s="1285">
        <f t="shared" si="9"/>
        <v>0</v>
      </c>
      <c r="AH31" s="1285">
        <f t="shared" si="9"/>
        <v>780</v>
      </c>
      <c r="AI31" s="1285">
        <f t="shared" si="9"/>
        <v>0</v>
      </c>
      <c r="AJ31" s="1286">
        <f t="shared" si="9"/>
        <v>0</v>
      </c>
      <c r="AK31" s="1286">
        <f t="shared" si="9"/>
        <v>0</v>
      </c>
      <c r="AL31" s="1278">
        <f t="shared" si="9"/>
        <v>28</v>
      </c>
      <c r="AM31" s="1278">
        <f t="shared" si="9"/>
        <v>5</v>
      </c>
      <c r="AN31" s="1278">
        <f t="shared" si="9"/>
        <v>0</v>
      </c>
      <c r="AO31" s="1278">
        <f t="shared" si="9"/>
        <v>0</v>
      </c>
      <c r="AP31" s="1278">
        <f>IF(ISNUMBER(((Datos!L31/Datos!K31)*11)/factor_trimestre),((Datos!L31/Datos!K31)*11)/factor_trimestre," - ")</f>
        <v>8.9625271542360601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-1.0263157894736843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2.1632005345360396E-2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20.813457185196313</v>
      </c>
      <c r="G33" s="1007">
        <f>IF(ISNUMBER(STDEV(G8:G30)),STDEV(G8:G30),"-")</f>
        <v>20.813457185196313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21.361179742701477</v>
      </c>
      <c r="AC33" s="1008">
        <f>IF(ISNUMBER(STDEV(AC8:AC30)),STDEV(AC8:AC30),"-")</f>
        <v>0</v>
      </c>
      <c r="AD33" s="1011"/>
      <c r="AE33" s="1011"/>
      <c r="AF33" s="1011"/>
      <c r="AG33" s="1011"/>
      <c r="AH33" s="1011"/>
      <c r="AI33" s="1011"/>
      <c r="AJ33" s="1012">
        <f>IF(ISNUMBER(STDEV(AJ8:AJ30)),STDEV(AJ8:AJ30),"-")</f>
        <v>0</v>
      </c>
      <c r="AK33" s="1014"/>
      <c r="AL33" s="1006">
        <f>IF(ISNUMBER(STDEV(AL8:AL30)),STDEV(AL8:AL30),"-")</f>
        <v>14.459137825841024</v>
      </c>
      <c r="AM33" s="1006"/>
      <c r="AN33" s="1006">
        <f>IF(ISNUMBER(STDEV(AN8:AN30)),STDEV(AN8:AN30),"-")</f>
        <v>0</v>
      </c>
      <c r="AO33" s="1012">
        <f>IF(ISNUMBER(STDEV(AO8:AO30)),STDEV(AO8:AO30),"-")</f>
        <v>0</v>
      </c>
      <c r="AP33" s="1065">
        <f>IF(ISNUMBER(STDEV(AP8:AP30)),STDEV(AP8:AP30),"-")</f>
        <v>7.7676808360628575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Jo5wScDGtiB47nojeuvNsHJewf6jVtKp4KLq0ukdaeYwTlIXrnlshAHBsEuf55FOwiv6rhLx3k2/QxSVV+83w==" saltValue="DglMx6ZaJ6eDGAHqDto1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ARONA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1.2</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3R5YUjA/RpYy3cYue5klP18ROBMZuaaaacUSU+FwgzpO7HjAMPi7VVqNBZm698Ra8dbFYnU6iaLOUKLyQiQ54g==" saltValue="TSNDZy+w9WTwLqY6ULLh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ARONA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526</v>
      </c>
      <c r="E9" s="452">
        <f t="shared" ref="E9:E14" si="0">IF(ISNUMBER(D9/B9),D9/B9," - ")</f>
        <v>87.666666666666671</v>
      </c>
      <c r="F9" s="451">
        <f>IF(ISNUMBER(Datos!N9),Datos!N9," - ")</f>
        <v>971</v>
      </c>
      <c r="G9" s="452">
        <f t="shared" ref="G9:G14" si="1">IF(ISNUMBER(F9/B9),F9/B9," - ")</f>
        <v>161.83333333333334</v>
      </c>
      <c r="H9" s="451">
        <f>IF(ISNUMBER(Datos!O9),Datos!O9," - ")</f>
        <v>1072</v>
      </c>
      <c r="I9" s="452">
        <f>IF(ISNUMBER(H9/B9),H9/B9," - ")</f>
        <v>178.66666666666666</v>
      </c>
    </row>
    <row r="10" spans="1:9">
      <c r="A10" s="450" t="str">
        <f>Datos!A10</f>
        <v>Jdos. Violencia contra la mujer</v>
      </c>
      <c r="B10" s="480">
        <f>Datos!AO10</f>
        <v>1</v>
      </c>
      <c r="C10" s="458">
        <f>Datos!AQ10</f>
        <v>1</v>
      </c>
      <c r="D10" s="451">
        <f>IF(ISNUMBER(Datos!M10),Datos!M10," - ")</f>
        <v>28</v>
      </c>
      <c r="E10" s="452">
        <f>IF(ISNUMBER(D10/B10),D10/B10," - ")</f>
        <v>28</v>
      </c>
      <c r="F10" s="451">
        <f>IF(ISNUMBER(Datos!N10),Datos!N10," - ")</f>
        <v>5</v>
      </c>
      <c r="G10" s="452">
        <f>IF(ISNUMBER(F10/B10),F10/B10," - ")</f>
        <v>5</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2</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554</v>
      </c>
      <c r="E14" s="1147">
        <f t="shared" si="0"/>
        <v>79.142857142857139</v>
      </c>
      <c r="F14" s="1146">
        <f>SUBTOTAL(9,F9:F13)</f>
        <v>976</v>
      </c>
      <c r="G14" s="1147">
        <f t="shared" si="1"/>
        <v>139.42857142857142</v>
      </c>
      <c r="H14" s="1146">
        <f>SUBTOTAL(9,H9:H13)</f>
        <v>1083</v>
      </c>
      <c r="I14" s="1147">
        <f>IF(ISNUMBER(H14/B14),H14/B14," - ")</f>
        <v>154.71428571428572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453</v>
      </c>
      <c r="E16" s="452">
        <f t="shared" ref="E16:E23" si="3">IF(ISNUMBER(D16/B16),D16/B16," - ")</f>
        <v>113.25</v>
      </c>
      <c r="F16" s="451">
        <f>IF(ISNUMBER(Datos!N16),Datos!N16," - ")</f>
        <v>2051</v>
      </c>
      <c r="G16" s="452">
        <f t="shared" ref="G16:G23" si="4">IF(ISNUMBER(F16/B16),F16/B16," - ")</f>
        <v>512.75</v>
      </c>
      <c r="H16" s="451">
        <f>IF(ISNUMBER(Datos!O16),Datos!O16," - ")</f>
        <v>70</v>
      </c>
      <c r="I16" s="452">
        <f t="shared" ref="I16:I22" si="5">IF(ISNUMBER(H16/B16),H16/B16," - ")</f>
        <v>17.5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70</v>
      </c>
      <c r="E18" s="452">
        <f>IF(ISNUMBER(D18/B18),D18/B18," - ")</f>
        <v>70</v>
      </c>
      <c r="F18" s="451">
        <f>IF(ISNUMBER(Datos!N18),Datos!N18," - ")</f>
        <v>144</v>
      </c>
      <c r="G18" s="452">
        <f>IF(ISNUMBER(F18/B18),F18/B18," - ")</f>
        <v>144</v>
      </c>
      <c r="H18" s="451">
        <f>IF(ISNUMBER(Datos!O18),Datos!O18," - ")</f>
        <v>12</v>
      </c>
      <c r="I18" s="452">
        <f t="shared" si="5"/>
        <v>12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523</v>
      </c>
      <c r="E23" s="1147">
        <f t="shared" si="3"/>
        <v>104.6</v>
      </c>
      <c r="F23" s="1146">
        <f>SUBTOTAL(9,F16:F22)</f>
        <v>2195</v>
      </c>
      <c r="G23" s="1147">
        <f t="shared" si="4"/>
        <v>439</v>
      </c>
      <c r="H23" s="1146">
        <f>SUBTOTAL(9,H16:H22)</f>
        <v>82</v>
      </c>
      <c r="I23" s="1147">
        <f>IF(ISNUMBER(H23/B23),H23/B23," - ")</f>
        <v>16.399999999999999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1077</v>
      </c>
      <c r="E31" s="1085">
        <f>IF(ISNUMBER(D31/B31),D31/B31," - ")</f>
        <v>97.909090909090907</v>
      </c>
      <c r="F31" s="1084">
        <f>SUBTOTAL(9,F8:F30)</f>
        <v>3171</v>
      </c>
      <c r="G31" s="1085">
        <f>IF(ISNUMBER(F31/B31),F31/B31," - ")</f>
        <v>288.27272727272725</v>
      </c>
      <c r="H31" s="1084">
        <f>SUBTOTAL(9,H8:H30)</f>
        <v>1165</v>
      </c>
      <c r="I31" s="1085">
        <f>IF(ISNUMBER(H31/B31),H31/B31," - ")</f>
        <v>105.90909090909091</v>
      </c>
    </row>
    <row r="34" spans="1:1">
      <c r="A34" s="439" t="str">
        <f>Criterios!A4</f>
        <v>Fecha Informe: 05 may. 2023</v>
      </c>
    </row>
    <row r="39" spans="1:1">
      <c r="A39" s="462"/>
    </row>
  </sheetData>
  <sheetProtection algorithmName="SHA-512" hashValue="bl+Z+59LnyjNZJc2h3iyuMuNvkOzqAtiH8Y9UhgTFL5fbyfzMVLSVw1He7KazJ2yYQBtqSHkMAQBD///JLTPwA==" saltValue="UVYC8BgzHZtGMnBsPYUi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ARONA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453</v>
      </c>
      <c r="C9" s="489">
        <f>IF(ISNUMBER(Datos!Q9),Datos!Q9," - ")</f>
        <v>192</v>
      </c>
      <c r="D9" s="456">
        <f>IF(ISNUMBER(Datos!R9),Datos!R9," - ")</f>
        <v>11022</v>
      </c>
    </row>
    <row r="10" spans="1:4">
      <c r="A10" s="450" t="str">
        <f>Datos!A10</f>
        <v>Jdos. Violencia contra la mujer</v>
      </c>
      <c r="B10" s="488">
        <f>IF(ISNUMBER(Datos!P10),Datos!P10," - ")</f>
        <v>13</v>
      </c>
      <c r="C10" s="489">
        <f>IF(ISNUMBER(Datos!Q10),Datos!Q10," - ")</f>
        <v>3</v>
      </c>
      <c r="D10" s="456">
        <f>IF(ISNUMBER(Datos!R10),Datos!R10," - ")</f>
        <v>74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35</v>
      </c>
      <c r="D12" s="456">
        <f>IF(ISNUMBER(Datos!R12),Datos!R12," - ")</f>
        <v>780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466</v>
      </c>
      <c r="C14" s="1150">
        <f>SUBTOTAL(9,C9:C13)</f>
        <v>230</v>
      </c>
      <c r="D14" s="1148">
        <f>SUBTOTAL(9,D9:D13)</f>
        <v>11876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100</v>
      </c>
      <c r="C16" s="489">
        <f>IF(ISNUMBER(Datos!Q16),Datos!Q16," - ")</f>
        <v>77</v>
      </c>
      <c r="D16" s="456">
        <f>IF(ISNUMBER(Datos!R16),Datos!R16," - ")</f>
        <v>356</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12</v>
      </c>
      <c r="C18" s="489">
        <f>IF(ISNUMBER(Datos!Q18),Datos!Q18," - ")</f>
        <v>12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112</v>
      </c>
      <c r="C23" s="1150">
        <f>SUBTOTAL(9,C16:C22)</f>
        <v>89</v>
      </c>
      <c r="D23" s="1148">
        <f>SUBTOTAL(9,D16:D22)</f>
        <v>356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578</v>
      </c>
      <c r="C31" s="1089">
        <f>SUBTOTAL(9,C8:C30)</f>
        <v>319</v>
      </c>
      <c r="D31" s="1090">
        <f>SUBTOTAL(9,D8:D30)</f>
        <v>12232</v>
      </c>
    </row>
    <row r="32" spans="1:4" ht="7.5" customHeight="1"/>
    <row r="33" spans="1:1" ht="6" customHeight="1"/>
    <row r="34" spans="1:1">
      <c r="A34" s="439" t="str">
        <f>Criterios!A4</f>
        <v>Fecha Informe: 05 may. 2023</v>
      </c>
    </row>
    <row r="39" spans="1:1">
      <c r="A39" s="462"/>
    </row>
  </sheetData>
  <sheetProtection algorithmName="SHA-512" hashValue="QRFjhYX4Ekp+rbHGZmt8nZ+YttjQcO3vXrZIqFm5UegxQnRTQSj7EJJJaD3OqTFZAk+GYIrOaQpnddE63t/2sw==" saltValue="Clci88979OROWMFJBaXl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ARONA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0.26723202839956611</v>
      </c>
      <c r="C9" s="515">
        <f>IF(ISNUMBER(
   IF(J_V="SI",(Datos!J9-Datos!T9)/Datos!T9,(Datos!J9+Datos!Z9-(Datos!T9+Datos!AH9))/(Datos!T9+Datos!AH9))
     ),IF(J_V="SI",(Datos!J9-Datos!T9)/Datos!T9,(Datos!J9+Datos!Z9-(Datos!T9+Datos!AH9))/(Datos!T9+Datos!AH9))," - ")</f>
        <v>-0.2099308610936518</v>
      </c>
      <c r="D9" s="515">
        <f>IF(ISNUMBER(
   IF(J_V="SI",(Datos!K9-Datos!U9)/Datos!U9,(Datos!K9+Datos!AA9-(Datos!U9+Datos!AI9))/(Datos!U9+Datos!AI9))
     ),IF(J_V="SI",(Datos!K9-Datos!U9)/Datos!U9,(Datos!K9+Datos!AA9-(Datos!U9+Datos!AI9))/(Datos!U9+Datos!AI9))," - ")</f>
        <v>0.14017815283638069</v>
      </c>
      <c r="E9" s="515">
        <f>IF(ISNUMBER(
   IF(J_V="SI",(Datos!L9-Datos!V9)/Datos!V9,(Datos!L9+Datos!AB9-(Datos!V9+Datos!AJ9))/(Datos!V9+Datos!AJ9))
     ),IF(J_V="SI",(Datos!L9-Datos!V9)/Datos!V9,(Datos!L9+Datos!AB9-(Datos!V9+Datos!AJ9))/(Datos!V9+Datos!AJ9))," - ")</f>
        <v>0.15576407506702414</v>
      </c>
      <c r="F9" s="515">
        <f>IF(ISNUMBER((Datos!M9-Datos!W9)/Datos!W9),(Datos!M9-Datos!W9)/Datos!W9," - ")</f>
        <v>-4.8824593128390596E-2</v>
      </c>
      <c r="G9" s="516">
        <f>IF(ISNUMBER((Datos!N9-Datos!X9)/Datos!X9),(Datos!N9-Datos!X9)/Datos!X9," - ")</f>
        <v>0.18414634146341463</v>
      </c>
      <c r="H9" s="514">
        <f>IF(ISNUMBER(((NºAsuntos!G9/NºAsuntos!E9)-Datos!BD9)/Datos!BD9),((NºAsuntos!G9/NºAsuntos!E9)-Datos!BD9)/Datos!BD9," - ")</f>
        <v>0.44313718469584862</v>
      </c>
      <c r="I9" s="515">
        <f>IF(ISNUMBER(((NºAsuntos!I9/NºAsuntos!G9)-Datos!BE9)/Datos!BE9),((NºAsuntos!I9/NºAsuntos!G9)-Datos!BE9)/Datos!BE9," - ")</f>
        <v>1.3669725377451794E-2</v>
      </c>
      <c r="J9" s="521">
        <f>IF(ISNUMBER((('Resol  Asuntos'!D9/NºAsuntos!G9)-Datos!BF9)/Datos!BF9),(('Resol  Asuntos'!D9/NºAsuntos!G9)-Datos!BF9)/Datos!BF9," - ")</f>
        <v>-0.43740071405648262</v>
      </c>
      <c r="K9" s="522">
        <f>IF(ISNUMBER((((NºAsuntos!C9+NºAsuntos!E9)/NºAsuntos!G9)-Datos!BG9)/Datos!BG9),(((NºAsuntos!C9+NºAsuntos!E9)/NºAsuntos!G9)-Datos!BG9)/Datos!BG9," - ")</f>
        <v>1.1481214964624002E-2</v>
      </c>
    </row>
    <row r="10" spans="1:11">
      <c r="A10" s="450" t="str">
        <f>Datos!A10</f>
        <v>Jdos. Violencia contra la mujer</v>
      </c>
      <c r="B10" s="514">
        <f>IF(ISNUMBER((Datos!I10-Datos!S10)/Datos!S10),(Datos!I10-Datos!S10)/Datos!S10," - ")</f>
        <v>-0.3559322033898305</v>
      </c>
      <c r="C10" s="515">
        <f>IF(ISNUMBER((Datos!J10-Datos!T10)/Datos!T10),(Datos!J10-Datos!T10)/Datos!T10," - ")</f>
        <v>-0.45901639344262296</v>
      </c>
      <c r="D10" s="515">
        <f>IF(ISNUMBER((Datos!K10-Datos!U10)/Datos!U10),(Datos!K10-Datos!U10)/Datos!U10," - ")</f>
        <v>-0.51851851851851849</v>
      </c>
      <c r="E10" s="515">
        <f>IF(ISNUMBER((Datos!L10-Datos!V10)/Datos!V10),(Datos!L10-Datos!V10)/Datos!V10," - ")</f>
        <v>-0.17948717948717949</v>
      </c>
      <c r="F10" s="515">
        <f>IF(ISNUMBER((Datos!M10-Datos!W10)/Datos!W10),(Datos!M10-Datos!W10)/Datos!W10," - ")</f>
        <v>-0.22222222222222221</v>
      </c>
      <c r="G10" s="516">
        <f>IF(ISNUMBER((Datos!N10-Datos!X10)/Datos!X10),(Datos!N10-Datos!X10)/Datos!X10," - ")</f>
        <v>-0.86111111111111116</v>
      </c>
      <c r="H10" s="514">
        <f>IF(ISNUMBER(((NºAsuntos!G10/NºAsuntos!E10)-Datos!BD10)/Datos!BD10),((NºAsuntos!G10/NºAsuntos!E10)-Datos!BD10)/Datos!BD10," - ")</f>
        <v>-0.10998877665544322</v>
      </c>
      <c r="I10" s="515">
        <f>IF(ISNUMBER(((NºAsuntos!I10/NºAsuntos!G10)-Datos!BE10)/Datos!BE10),((NºAsuntos!I10/NºAsuntos!G10)-Datos!BE10)/Datos!BE10," - ")</f>
        <v>0.70414201183431957</v>
      </c>
      <c r="J10" s="521">
        <f>IF(ISNUMBER((('Resol  Asuntos'!D10/NºAsuntos!G10)-Datos!BF10)/Datos!BF10),(('Resol  Asuntos'!D10/NºAsuntos!G10)-Datos!BF10)/Datos!BF10," - ")</f>
        <v>0.61538461538461553</v>
      </c>
      <c r="K10" s="522">
        <f>IF(ISNUMBER((((NºAsuntos!C10+NºAsuntos!E10)/NºAsuntos!G10)-Datos!BG10)/Datos!BG10),(((NºAsuntos!C10+NºAsuntos!E10)/NºAsuntos!G10)-Datos!BG10)/Datos!BG10," - ")</f>
        <v>0.22884615384615389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-0.5</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0.26347774946089003</v>
      </c>
      <c r="C14" s="1152">
        <f>IF(ISNUMBER(
   IF(J_V="SI",(Datos!J14-Datos!T14)/Datos!T14,(Datos!J14+Datos!Z14-(Datos!T14+Datos!AH14))/(Datos!T14+Datos!AH14))
     ),IF(J_V="SI",(Datos!J14-Datos!T14)/Datos!T14,(Datos!J14+Datos!Z14-(Datos!T14+Datos!AH14))/(Datos!T14+Datos!AH14))," - ")</f>
        <v>-0.21461609620721553</v>
      </c>
      <c r="D14" s="1152">
        <f>IF(ISNUMBER(
   IF(J_V="SI",(Datos!K14-Datos!U14)/Datos!U14,(Datos!K14+Datos!AA14-(Datos!U14+Datos!AI14))/(Datos!U14+Datos!AI14))
     ),IF(J_V="SI",(Datos!K14-Datos!U14)/Datos!U14,(Datos!K14+Datos!AA14-(Datos!U14+Datos!AI14))/(Datos!U14+Datos!AI14))," - ")</f>
        <v>0.11607949412827462</v>
      </c>
      <c r="E14" s="1152">
        <f>IF(ISNUMBER(
   IF(J_V="SI",(Datos!L14-Datos!V14)/Datos!V14,(Datos!L14+Datos!AB14-(Datos!V14+Datos!AJ14))/(Datos!V14+Datos!AJ14))
     ),IF(J_V="SI",(Datos!L14-Datos!V14)/Datos!V14,(Datos!L14+Datos!AB14-(Datos!V14+Datos!AJ14))/(Datos!V14+Datos!AJ14))," - ")</f>
        <v>0.15448312705903303</v>
      </c>
      <c r="F14" s="1153">
        <f>IF(ISNUMBER((Datos!M14-Datos!W14)/Datos!W14),(Datos!M14-Datos!W14)/Datos!W14," - ")</f>
        <v>-5.9422750424448216E-2</v>
      </c>
      <c r="G14" s="1154">
        <f>IF(ISNUMBER((Datos!N14-Datos!X14)/Datos!X14),(Datos!N14-Datos!X14)/Datos!X14," - ")</f>
        <v>0.14018691588785046</v>
      </c>
      <c r="H14" s="1154">
        <f>IF(ISNUMBER(((NºAsuntos!G14/NºAsuntos!E14)-Datos!BD14)/Datos!BD14),((NºAsuntos!G14/NºAsuntos!E14)-Datos!BD14)/Datos!BD14," - ")</f>
        <v>0.42106234764742612</v>
      </c>
      <c r="I14" s="1154">
        <f>IF(ISNUMBER(((NºAsuntos!I14/NºAsuntos!G14)-Datos!BE14)/Datos!BE14),((NºAsuntos!I14/NºAsuntos!G14)-Datos!BE14)/Datos!BE14," - ")</f>
        <v>3.4409406438162204E-2</v>
      </c>
      <c r="J14" s="1154">
        <f>IF(ISNUMBER((('Resol  Asuntos'!D14/NºAsuntos!G14)-Datos!BF14)/Datos!BF14),(('Resol  Asuntos'!D14/NºAsuntos!G14)-Datos!BF14)/Datos!BF14," - ")</f>
        <v>-0.42011634020053179</v>
      </c>
      <c r="K14" s="1154">
        <f>IF(ISNUMBER((((NºAsuntos!C14+NºAsuntos!E14)/NºAsuntos!G14)-Datos!BG14)/Datos!BG14),(((NºAsuntos!C14+NºAsuntos!E14)/NºAsuntos!G14)-Datos!BG14)/Datos!BG14," - ")</f>
        <v>2.8743179152621774E-2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8.0823601720958815E-2</v>
      </c>
      <c r="C16" s="515">
        <f>IF(ISNUMBER(
   IF(D_I="SI",(Datos!J16-Datos!T16)/Datos!T16,(Datos!J16+Datos!AD16-(Datos!T16+Datos!AL16))/(Datos!T16+Datos!AL16))
     ),IF(D_I="SI",(Datos!J16-Datos!T16)/Datos!T16,(Datos!J16+Datos!AD16-(Datos!T16+Datos!AL16))/(Datos!T16+Datos!AL16))," - ")</f>
        <v>2.0387359836901122E-2</v>
      </c>
      <c r="D16" s="515">
        <f>IF(ISNUMBER(
   IF(D_I="SI",(Datos!K16-Datos!U16)/Datos!U16,(Datos!K16+Datos!AE16-(Datos!U16+Datos!AM16))/(Datos!U16+Datos!AM16))
     ),IF(D_I="SI",(Datos!K16-Datos!U16)/Datos!U16,(Datos!K16+Datos!AE16-(Datos!U16+Datos!AM16))/(Datos!U16+Datos!AM16))," - ")</f>
        <v>-1.7271157167530224E-3</v>
      </c>
      <c r="E16" s="515">
        <f>IF(ISNUMBER(
   IF(D_I="SI",(Datos!L16-Datos!V16)/Datos!V16,(Datos!L16+Datos!AF16-(Datos!V16+Datos!AN16))/(Datos!V16+Datos!AN16))
     ),IF(D_I="SI",(Datos!L16-Datos!V16)/Datos!V16,(Datos!L16+Datos!AF16-(Datos!V16+Datos!AN16))/(Datos!V16+Datos!AN16))," - ")</f>
        <v>9.9309930993099316E-2</v>
      </c>
      <c r="F16" s="515">
        <f>IF(ISNUMBER((Datos!M16-Datos!W16)/Datos!W16),(Datos!M16-Datos!W16)/Datos!W16," - ")</f>
        <v>0.13250000000000001</v>
      </c>
      <c r="G16" s="516">
        <f>IF(ISNUMBER((Datos!N16-Datos!X16)/Datos!X16),(Datos!N16-Datos!X16)/Datos!X16," - ")</f>
        <v>0.18009205983889529</v>
      </c>
      <c r="H16" s="514">
        <f>IF(ISNUMBER(((NºAsuntos!G16/NºAsuntos!E16)-Datos!BD16)/Datos!BD16),((NºAsuntos!G16/NºAsuntos!E16)-Datos!BD16)/Datos!BD16," - ")</f>
        <v>-2.1672627890244392E-2</v>
      </c>
      <c r="I16" s="515">
        <f>IF(ISNUMBER(((NºAsuntos!I16/NºAsuntos!G16)-Datos!BE16)/Datos!BE16),((NºAsuntos!I16/NºAsuntos!G16)-Datos!BE16)/Datos!BE16," - ")</f>
        <v>0.1012118512889353</v>
      </c>
      <c r="J16" s="521">
        <f>IF(ISNUMBER((('Resol  Asuntos'!D16/NºAsuntos!G16)-Datos!BF16)/Datos!BF16),(('Resol  Asuntos'!D16/NºAsuntos!G16)-Datos!BF16)/Datos!BF16," - ")</f>
        <v>0.13445934256055353</v>
      </c>
      <c r="K16" s="522">
        <f>IF(ISNUMBER((((NºAsuntos!C16+NºAsuntos!E16)/NºAsuntos!G16)-Datos!BG16)/Datos!BG16),(((NºAsuntos!C16+NºAsuntos!E16)/NºAsuntos!G16)-Datos!BG16)/Datos!BG16," - ")</f>
        <v>5.3942274780798535E-2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0.15343915343915343</v>
      </c>
      <c r="C18" s="515">
        <f>IF(ISNUMBER(
   IF(D_I="SI",(Datos!J18-Datos!T18)/Datos!T18,(Datos!J18+Datos!AD18-(Datos!T18+Datos!AL18))/(Datos!T18+Datos!AL18))
     ),IF(D_I="SI",(Datos!J18-Datos!T18)/Datos!T18,(Datos!J18+Datos!AD18-(Datos!T18+Datos!AL18))/(Datos!T18+Datos!AL18))," - ")</f>
        <v>0.21632653061224491</v>
      </c>
      <c r="D18" s="515">
        <f>IF(ISNUMBER(
   IF(D_I="SI",(Datos!K18-Datos!U18)/Datos!U18,(Datos!K18+Datos!AE18-(Datos!U18+Datos!AM18))/(Datos!U18+Datos!AM18))
     ),IF(D_I="SI",(Datos!K18-Datos!U18)/Datos!U18,(Datos!K18+Datos!AE18-(Datos!U18+Datos!AM18))/(Datos!U18+Datos!AM18))," - ")</f>
        <v>0.28125</v>
      </c>
      <c r="E18" s="515">
        <f>IF(ISNUMBER(
   IF(D_I="SI",(Datos!L18-Datos!V18)/Datos!V18,(Datos!L18+Datos!AF18-(Datos!V18+Datos!AN18))/(Datos!V18+Datos!AN18))
     ),IF(D_I="SI",(Datos!L18-Datos!V18)/Datos!V18,(Datos!L18+Datos!AF18-(Datos!V18+Datos!AN18))/(Datos!V18+Datos!AN18))," - ")</f>
        <v>5.6179775280898875E-2</v>
      </c>
      <c r="F18" s="515">
        <f>IF(ISNUMBER((Datos!M18-Datos!W18)/Datos!W18),(Datos!M18-Datos!W18)/Datos!W18," - ")</f>
        <v>0.34615384615384615</v>
      </c>
      <c r="G18" s="516">
        <f>IF(ISNUMBER((Datos!N18-Datos!X18)/Datos!X18),(Datos!N18-Datos!X18)/Datos!X18," - ")</f>
        <v>-0.17714285714285713</v>
      </c>
      <c r="H18" s="514">
        <f>IF(ISNUMBER(((NºAsuntos!G18/NºAsuntos!E18)-Datos!BD18)/Datos!BD18),((NºAsuntos!G18/NºAsuntos!E18)-Datos!BD18)/Datos!BD18," - ")</f>
        <v>5.3376677852348862E-2</v>
      </c>
      <c r="I18" s="515">
        <f>IF(ISNUMBER(((NºAsuntos!I18/NºAsuntos!G18)-Datos!BE18)/Datos!BE18),((NºAsuntos!I18/NºAsuntos!G18)-Datos!BE18)/Datos!BE18," - ")</f>
        <v>-0.17566456563442046</v>
      </c>
      <c r="J18" s="521">
        <f>IF(ISNUMBER((('Resol  Asuntos'!D18/NºAsuntos!G18)-Datos!BF18)/Datos!BF18),(('Resol  Asuntos'!D18/NºAsuntos!G18)-Datos!BF18)/Datos!BF18," - ")</f>
        <v>5.0656660412757952E-2</v>
      </c>
      <c r="K18" s="522">
        <f>IF(ISNUMBER((((NºAsuntos!C18+NºAsuntos!E18)/NºAsuntos!G18)-Datos!BG18)/Datos!BG18),(((NºAsuntos!C18+NºAsuntos!E18)/NºAsuntos!G18)-Datos!BG18)/Datos!BG18," - ")</f>
        <v>-7.2046757333932746E-2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8.4613155607070417E-2</v>
      </c>
      <c r="C23" s="1152">
        <f>IF(ISNUMBER(
   IF(Criterios!B14="SI",(Datos!J23-Datos!T23)/Datos!T23,(Datos!J23+Datos!AD23-(Datos!T23+Datos!AL23))/(Datos!T23+Datos!AL23))
     ),IF(Criterios!B14="SI",(Datos!J23-Datos!T23)/Datos!T23,(Datos!J23+Datos!AD23-(Datos!T23+Datos!AL23))/(Datos!T23+Datos!AL23))," - ")</f>
        <v>3.5445420326223338E-2</v>
      </c>
      <c r="D23" s="1152">
        <f>IF(ISNUMBER(
   IF(Criterios!B14="SI",(Datos!K23-Datos!U23)/Datos!U23,(Datos!K23+Datos!AE23-(Datos!U23+Datos!AM23))/(Datos!U23+Datos!AM23))
     ),IF(Criterios!B14="SI",(Datos!K23-Datos!U23)/Datos!U23,(Datos!K23+Datos!AE23-(Datos!U23+Datos!AM23))/(Datos!U23+Datos!AM23))," - ")</f>
        <v>2.126309108219613E-2</v>
      </c>
      <c r="E23" s="1152">
        <f>IF(ISNUMBER(
   IF(Criterios!B14="SI",(Datos!L23-Datos!V23)/Datos!V23,(Datos!L23+Datos!AF23-(Datos!V23+Datos!AN23))/(Datos!V23+Datos!AN23))
     ),IF(Criterios!B14="SI",(Datos!L23-Datos!V23)/Datos!V23,(Datos!L23+Datos!AF23-(Datos!V23+Datos!AN23))/(Datos!V23+Datos!AN23))," - ")</f>
        <v>9.6902529127593062E-2</v>
      </c>
      <c r="F23" s="1153">
        <f>IF(ISNUMBER((Datos!M23-Datos!W23)/Datos!W23),(Datos!M23-Datos!W23)/Datos!W23," - ")</f>
        <v>0.15707964601769911</v>
      </c>
      <c r="G23" s="1154">
        <f>IF(ISNUMBER((Datos!N23-Datos!X23)/Datos!X23),(Datos!N23-Datos!X23)/Datos!X23," - ")</f>
        <v>0.14741244119184527</v>
      </c>
      <c r="H23" s="1154">
        <f>IF(ISNUMBER(((NºAsuntos!G23/NºAsuntos!E23)-Datos!BD23)/Datos!BD23),((NºAsuntos!G23/NºAsuntos!E23)-Datos!BD23)/Datos!BD23," - ")</f>
        <v>-1.3696839027554903E-2</v>
      </c>
      <c r="I23" s="1154">
        <f>IF(ISNUMBER(((NºAsuntos!I23/NºAsuntos!G23)-Datos!BE23)/Datos!BE23),((NºAsuntos!I23/NºAsuntos!G23)-Datos!BE23)/Datos!BE23," - ")</f>
        <v>7.4064595798957647E-2</v>
      </c>
      <c r="J23" s="1154">
        <f>IF(ISNUMBER((('Resol  Asuntos'!D23/NºAsuntos!G23)-Datos!BF23)/Datos!BF23),(('Resol  Asuntos'!D23/NºAsuntos!G23)-Datos!BF23)/Datos!BF23," - ")</f>
        <v>0.13298880192721252</v>
      </c>
      <c r="K23" s="1154">
        <f>IF(ISNUMBER((((NºAsuntos!C23+NºAsuntos!E23)/NºAsuntos!G23)-Datos!BG23)/Datos!BG23),(((NºAsuntos!C23+NºAsuntos!E23)/NºAsuntos!G23)-Datos!BG23)/Datos!BG23," - ")</f>
        <v>3.8912668431666984E-2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0.21826704753534021</v>
      </c>
      <c r="C31" s="1092">
        <f>IF(ISNUMBER(
   IF(J_V="SI",(Datos!J31-Datos!T31)/Datos!T31,(Datos!J31+Datos!Z31-(Datos!T31+Datos!AH31))/(Datos!T31+Datos!AH31))
     ),IF(J_V="SI",(Datos!J31-Datos!T31)/Datos!T31,(Datos!J31+Datos!Z31-(Datos!T31+Datos!AH31))/(Datos!T31+Datos!AH31))," - ")</f>
        <v>-9.0654641579847609E-2</v>
      </c>
      <c r="D31" s="1092">
        <f>IF(ISNUMBER(
   IF(J_V="SI",(Datos!K31-Datos!U31)/Datos!U31,(Datos!K31+Datos!AA31-(Datos!U31+Datos!AI31))/(Datos!U31+Datos!AI31))
     ),IF(J_V="SI",(Datos!K31-Datos!U31)/Datos!U31,(Datos!K31+Datos!AA31-(Datos!U31+Datos!AI31))/(Datos!U31+Datos!AI31))," - ")</f>
        <v>6.0391425908667286E-2</v>
      </c>
      <c r="E31" s="1092">
        <f>IF(ISNUMBER(
   IF(J_V="SI",(Datos!L31-Datos!V31)/Datos!V31,(Datos!L31+Datos!AB31-(Datos!V31+Datos!AJ31))/(Datos!V31+Datos!AJ31))
     ),IF(J_V="SI",(Datos!L31-Datos!V31)/Datos!V31,(Datos!L31+Datos!AB31-(Datos!V31+Datos!AJ31))/(Datos!V31+Datos!AJ31))," - ")</f>
        <v>0.1407457627118644</v>
      </c>
      <c r="F31" s="1093">
        <f>IF(ISNUMBER((Datos!M31-Datos!W31)/Datos!W31),(Datos!M31-Datos!W31)/Datos!W31," - ")</f>
        <v>3.4582132564841501E-2</v>
      </c>
      <c r="G31" s="1094">
        <f>IF(ISNUMBER((Datos!N31-Datos!X31)/Datos!X31),(Datos!N31-Datos!X31)/Datos!X31," - ")</f>
        <v>0.14517876489707476</v>
      </c>
      <c r="H31" s="1095">
        <f>IF(ISNUMBER((Tasas!B31-Datos!BD31)/Datos!BD31),(Tasas!B31-Datos!BD31)/Datos!BD31," - ")</f>
        <v>0.16610418262972634</v>
      </c>
      <c r="I31" s="1096">
        <f>IF(ISNUMBER((Tasas!C31-Datos!BE31)/Datos!BE31),(Tasas!C31-Datos!BE31)/Datos!BE31," - ")</f>
        <v>7.5777995596616646E-2</v>
      </c>
      <c r="J31" s="1097">
        <f>IF(ISNUMBER((Tasas!D31-Datos!BF31)/Datos!BF31),(Tasas!D31-Datos!BF31)/Datos!BF31," - ")</f>
        <v>-0.22349947831079137</v>
      </c>
      <c r="K31" s="1097">
        <f>IF(ISNUMBER((Tasas!E31-Datos!BG31)/Datos!BG31),(Tasas!E31-Datos!BG31)/Datos!BG31," - ")</f>
        <v>5.5599571971738732E-2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BVyd0gLrkARfM9Ai6aBEcMVQh589nCvKeMx9yTLNazEpvgk5dYZpbr+xqlh6bfmZH5UdBdsI8ro2WZ1Wyn6bw==" saltValue="Lv9mzh/UsFel6i+YLIyAy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ARONA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0.96738265712012728</v>
      </c>
      <c r="C9" s="498">
        <f>IF(ISNUMBER(NºAsuntos!I9/NºAsuntos!G9),NºAsuntos!I9/NºAsuntos!G9," - ")</f>
        <v>5.3178453947368425</v>
      </c>
      <c r="D9" s="499">
        <f>IF(ISNUMBER('Resol  Asuntos'!D9/NºAsuntos!G9),'Resol  Asuntos'!D9/NºAsuntos!G9," - ")</f>
        <v>0.21628289473684212</v>
      </c>
      <c r="E9" s="500">
        <f>IF(ISNUMBER((NºAsuntos!C9+NºAsuntos!E9)/NºAsuntos!G9),(NºAsuntos!C9+NºAsuntos!E9)/NºAsuntos!G9," - ")</f>
        <v>6.3178453947368425</v>
      </c>
      <c r="G9" s="523"/>
    </row>
    <row r="10" spans="1:7">
      <c r="A10" s="450" t="str">
        <f>Datos!A10</f>
        <v>Jdos. Violencia contra la mujer</v>
      </c>
      <c r="B10" s="497">
        <f>IF(ISNUMBER(NºAsuntos!G10/NºAsuntos!E10),NºAsuntos!G10/NºAsuntos!E10," - ")</f>
        <v>1.1818181818181819</v>
      </c>
      <c r="C10" s="498">
        <f>IF(ISNUMBER(NºAsuntos!I10/NºAsuntos!G10),NºAsuntos!I10/NºAsuntos!G10," - ")</f>
        <v>0.82051282051282048</v>
      </c>
      <c r="D10" s="499">
        <f>IF(ISNUMBER('Resol  Asuntos'!D10/NºAsuntos!G10),'Resol  Asuntos'!D10/NºAsuntos!G10," - ")</f>
        <v>0.71794871794871795</v>
      </c>
      <c r="E10" s="500">
        <f>IF(ISNUMBER((NºAsuntos!C10+NºAsuntos!E10)/NºAsuntos!G10),(NºAsuntos!C10+NºAsuntos!E10)/NºAsuntos!G10," - ")</f>
        <v>1.8205128205128205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0.97016097369454257</v>
      </c>
      <c r="C14" s="1156">
        <f>IF(ISNUMBER(NºAsuntos!I14/NºAsuntos!G14),NºAsuntos!I14/NºAsuntos!G14," - ")</f>
        <v>5.2472683124241195</v>
      </c>
      <c r="D14" s="1157">
        <f>IF(ISNUMBER('Resol  Asuntos'!D14/NºAsuntos!G14),'Resol  Asuntos'!D14/NºAsuntos!G14," - ")</f>
        <v>0.22420072845002023</v>
      </c>
      <c r="E14" s="1158">
        <f>IF(ISNUMBER((NºAsuntos!C14+NºAsuntos!E14)/NºAsuntos!G14),(NºAsuntos!C14+NºAsuntos!E14)/NºAsuntos!G14," - ")</f>
        <v>6.2472683124241195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0.96237096237096242</v>
      </c>
      <c r="C16" s="498">
        <f>IF(ISNUMBER(NºAsuntos!I16/NºAsuntos!G16),NºAsuntos!I16/NºAsuntos!G16," - ")</f>
        <v>1.2678200692041524</v>
      </c>
      <c r="D16" s="499">
        <f>IF(ISNUMBER('Resol  Asuntos'!D16/NºAsuntos!G16),'Resol  Asuntos'!D16/NºAsuntos!G16," - ")</f>
        <v>0.15674740484429064</v>
      </c>
      <c r="E16" s="500">
        <f>IF(ISNUMBER((NºAsuntos!C16+NºAsuntos!E16)/NºAsuntos!G16),(NºAsuntos!C16+NºAsuntos!E16)/NºAsuntos!G16," - ")</f>
        <v>2.2560553633217992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1.1006711409395973</v>
      </c>
      <c r="C18" s="498">
        <f>IF(ISNUMBER(NºAsuntos!I18/NºAsuntos!G18),NºAsuntos!I18/NºAsuntos!G18," - ")</f>
        <v>0.57317073170731703</v>
      </c>
      <c r="D18" s="499">
        <f>IF(ISNUMBER('Resol  Asuntos'!D18/NºAsuntos!G18),'Resol  Asuntos'!D18/NºAsuntos!G18," - ")</f>
        <v>0.21341463414634146</v>
      </c>
      <c r="E18" s="500">
        <f>IF(ISNUMBER((NºAsuntos!C18+NºAsuntos!E18)/NºAsuntos!G18),(NºAsuntos!C18+NºAsuntos!E18)/NºAsuntos!G18," - ")</f>
        <v>1.5731707317073171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0.97485610421084523</v>
      </c>
      <c r="C23" s="1156">
        <f>IF(ISNUMBER(NºAsuntos!I23/NºAsuntos!G23),NºAsuntos!I23/NºAsuntos!G23," - ")</f>
        <v>1.1995027967681791</v>
      </c>
      <c r="D23" s="1159">
        <f>IF(ISNUMBER('Resol  Asuntos'!D23/NºAsuntos!G23),'Resol  Asuntos'!D23/NºAsuntos!G23," - ")</f>
        <v>0.1625233064014916</v>
      </c>
      <c r="E23" s="1158">
        <f>IF(ISNUMBER((NºAsuntos!C23+NºAsuntos!E23)/NºAsuntos!G23),(NºAsuntos!C23+NºAsuntos!E23)/NºAsuntos!G23," - ")</f>
        <v>2.1889372280919828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0.9728112175102599</v>
      </c>
      <c r="C31" s="1099">
        <f>IF(ISNUMBER(NºAsuntos!I31/NºAsuntos!G31),NºAsuntos!I31/NºAsuntos!G31," - ")</f>
        <v>2.9576375461416768</v>
      </c>
      <c r="D31" s="1100">
        <f>IF(ISNUMBER('Resol  Asuntos'!D31/NºAsuntos!G31),'Resol  Asuntos'!D31/NºAsuntos!G31," - ")</f>
        <v>0.18931270873615749</v>
      </c>
      <c r="E31" s="1101">
        <f>IF(ISNUMBER((NºAsuntos!C31+NºAsuntos!E31)/NºAsuntos!G31),(NºAsuntos!C31+NºAsuntos!E31)/NºAsuntos!G31," - ")</f>
        <v>3.9516611003691335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HYYglJu9ZogWILarVqOLI/qxShJFgPj2Wu8kdHfWiiLVLfXTuoxrqmyIQwxgKtM9iEgSSQe46Ri48mNQd8lEA==" saltValue="TVIjInvv0oWD8pf6plvBb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ARONA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453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192</v>
      </c>
      <c r="Y9" s="374">
        <f>SUM(W9:X9)</f>
        <v>192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11022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526</v>
      </c>
      <c r="AJ9" s="243" t="str">
        <f>IF(ISNUMBER(Datos!BW9),Datos!BW9," - ")</f>
        <v xml:space="preserve"> - </v>
      </c>
      <c r="AK9" s="242" t="str">
        <f>IF(ISNUMBER(Datos!BX9),Datos!BX9," - ")</f>
        <v xml:space="preserve"> - </v>
      </c>
      <c r="AL9" s="266">
        <f>IF(ISNUMBER(NºAsuntos!G9/NºAsuntos!E9),NºAsuntos!G9/NºAsuntos!E9," - ")</f>
        <v>0.96738265712012728</v>
      </c>
      <c r="AM9" s="284">
        <f>IF(ISNUMBER(((NºAsuntos!I9/NºAsuntos!G9)*11)/factor_trimestre),((NºAsuntos!I9/NºAsuntos!G9)*11)/factor_trimestre," - ")</f>
        <v>15.953536184210527</v>
      </c>
      <c r="AN9" s="267">
        <f>IF(ISNUMBER('Resol  Asuntos'!D9/NºAsuntos!G9),'Resol  Asuntos'!D9/NºAsuntos!G9," - ")</f>
        <v>0.21628289473684212</v>
      </c>
      <c r="AO9" s="268">
        <f>IF(ISNUMBER((NºAsuntos!C9+NºAsuntos!E9)/NºAsuntos!G9),(NºAsuntos!C9+NºAsuntos!E9)/NºAsuntos!G9," - ")</f>
        <v>6.3178453947368425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38</v>
      </c>
      <c r="G10" s="373">
        <f>IF(ISNUMBER(Datos!I10),Datos!I10," - ")</f>
        <v>38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39</v>
      </c>
      <c r="X10" s="240">
        <f>IF(ISNUMBER(Datos!Q10),Datos!Q10," - ")</f>
        <v>3</v>
      </c>
      <c r="Y10" s="374">
        <f t="shared" ref="Y10:Y13" si="0">SUM(W10:X10)</f>
        <v>42</v>
      </c>
      <c r="Z10" s="375" t="str">
        <f>IF(ISNUMBER(Datos!CC10),Datos!CC10," - ")</f>
        <v xml:space="preserve"> - </v>
      </c>
      <c r="AA10" s="372">
        <f>IF(ISNUMBER(Datos!L10),Datos!L10,"-")</f>
        <v>32</v>
      </c>
      <c r="AB10" s="374">
        <f>IF(ISNUMBER(Datos!R10),Datos!R10," - ")</f>
        <v>74</v>
      </c>
      <c r="AC10" s="374">
        <f t="shared" ref="AC10:AC13" si="1">IF(ISNUMBER(AA10+AB10),AA10+AB10," - ")</f>
        <v>106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28</v>
      </c>
      <c r="AJ10" s="245" t="str">
        <f>IF(ISNUMBER(Datos!BW10),Datos!BW10," - ")</f>
        <v xml:space="preserve"> - </v>
      </c>
      <c r="AK10" s="246" t="str">
        <f>IF(ISNUMBER(Datos!BX10),Datos!BX10," - ")</f>
        <v xml:space="preserve"> - </v>
      </c>
      <c r="AL10" s="266">
        <f>IF(ISNUMBER(NºAsuntos!G10/NºAsuntos!E10),NºAsuntos!G10/NºAsuntos!E10," - ")</f>
        <v>1.1818181818181819</v>
      </c>
      <c r="AM10" s="284">
        <f>IF(ISNUMBER(((NºAsuntos!I10/NºAsuntos!G10)*11)/factor_trimestre),((NºAsuntos!I10/NºAsuntos!G10)*11)/factor_trimestre," - ")</f>
        <v>2.4615384615384617</v>
      </c>
      <c r="AN10" s="267">
        <f>IF(ISNUMBER('Resol  Asuntos'!D10/NºAsuntos!G10),'Resol  Asuntos'!D10/NºAsuntos!G10," - ")</f>
        <v>0.71794871794871795</v>
      </c>
      <c r="AO10" s="268">
        <f>IF(ISNUMBER((NºAsuntos!C10+NºAsuntos!E10)/NºAsuntos!G10),(NºAsuntos!C10+NºAsuntos!E10)/NºAsuntos!G10," - ")</f>
        <v>1.8205128205128205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v>
      </c>
      <c r="Y12" s="374">
        <f t="shared" si="0"/>
        <v>35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780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38</v>
      </c>
      <c r="G14" s="1163">
        <f t="shared" si="5"/>
        <v>38</v>
      </c>
      <c r="H14" s="1162">
        <f t="shared" si="5"/>
        <v>0</v>
      </c>
      <c r="I14" s="1164">
        <f t="shared" si="5"/>
        <v>0</v>
      </c>
      <c r="J14" s="1164">
        <f t="shared" si="5"/>
        <v>0</v>
      </c>
      <c r="K14" s="1164">
        <f t="shared" si="5"/>
        <v>0</v>
      </c>
      <c r="L14" s="1164">
        <f t="shared" si="5"/>
        <v>466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39</v>
      </c>
      <c r="X14" s="1164">
        <f t="shared" si="6"/>
        <v>230</v>
      </c>
      <c r="Y14" s="1165">
        <f t="shared" si="6"/>
        <v>269</v>
      </c>
      <c r="Z14" s="1165">
        <f t="shared" si="6"/>
        <v>0</v>
      </c>
      <c r="AA14" s="1165">
        <f t="shared" si="6"/>
        <v>32</v>
      </c>
      <c r="AB14" s="1165">
        <f t="shared" si="6"/>
        <v>11876</v>
      </c>
      <c r="AC14" s="1165">
        <f t="shared" si="6"/>
        <v>106</v>
      </c>
      <c r="AD14" s="1165">
        <f t="shared" si="6"/>
        <v>0</v>
      </c>
      <c r="AE14" s="1169">
        <f t="shared" si="6"/>
        <v>0</v>
      </c>
      <c r="AF14" s="1162">
        <f t="shared" si="6"/>
        <v>0</v>
      </c>
      <c r="AG14" s="1170">
        <f t="shared" si="6"/>
        <v>0</v>
      </c>
      <c r="AH14" s="1167">
        <f t="shared" si="6"/>
        <v>0</v>
      </c>
      <c r="AI14" s="1162">
        <f t="shared" si="6"/>
        <v>554</v>
      </c>
      <c r="AJ14" s="1164">
        <f t="shared" si="6"/>
        <v>0</v>
      </c>
      <c r="AK14" s="1167">
        <f>SUBTOTAL(9,AK9:AK13)</f>
        <v>0</v>
      </c>
      <c r="AL14" s="1171">
        <f>IF(ISNUMBER(NºAsuntos!G14/NºAsuntos!E14),NºAsuntos!G14/NºAsuntos!E14," - ")</f>
        <v>0.97016097369454257</v>
      </c>
      <c r="AM14" s="1171">
        <f>IF(ISNUMBER(((NºAsuntos!I14/NºAsuntos!G14)*11)/factor_trimestre),((NºAsuntos!I14/NºAsuntos!G14)*11)/factor_trimestre," - ")</f>
        <v>15.741804937272358</v>
      </c>
      <c r="AN14" s="1172">
        <f>IF(ISNUMBER('Resol  Asuntos'!D14/NºAsuntos!G14),'Resol  Asuntos'!D14/NºAsuntos!G14," - ")</f>
        <v>0.22420072845002023</v>
      </c>
      <c r="AO14" s="1173">
        <f>IF(ISNUMBER((NºAsuntos!C14+NºAsuntos!E14)/NºAsuntos!G14),(NºAsuntos!C14+NºAsuntos!E14)/NºAsuntos!G14," - ")</f>
        <v>6.2472683124241195</v>
      </c>
      <c r="AP14" s="1174" t="str">
        <f t="shared" si="2"/>
        <v xml:space="preserve"> - </v>
      </c>
      <c r="AQ14" s="1174">
        <f>IF(ISNUMBER((H14-W14+K14)/(F14)),(H14-W14+K14)/(F14)," - ")</f>
        <v>-1.0263157894736843</v>
      </c>
      <c r="AR14" s="1175">
        <f>IF(ISNUMBER((Datos!P14-Datos!Q14)/(Datos!R14-Datos!P14+Datos!Q14)),(Datos!P14-Datos!Q14)/(Datos!R14-Datos!P14+Datos!Q14)," - ")</f>
        <v>2.027491408934708E-2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3551</v>
      </c>
      <c r="G16" s="373">
        <f>IF(ISNUMBER(IF(D_I="SI",Datos!I16,Datos!I16+Datos!AC16)),IF(D_I="SI",Datos!I16,Datos!I16+Datos!AC16)," - ")</f>
        <v>3517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2890</v>
      </c>
      <c r="X16" s="240">
        <f>IF(ISNUMBER(Datos!Q16),Datos!Q16," - ")</f>
        <v>77</v>
      </c>
      <c r="Y16" s="374">
        <f>SUM(W16)</f>
        <v>2890</v>
      </c>
      <c r="Z16" s="375" t="str">
        <f>IF(ISNUMBER(Datos!CC16),Datos!CC16," - ")</f>
        <v xml:space="preserve"> - </v>
      </c>
      <c r="AA16" s="372">
        <f>IF(ISNUMBER(IF(D_I="SI",Datos!L16,Datos!L16+Datos!AF16)),IF(D_I="SI",Datos!L16,Datos!L16+Datos!AF16)," - ")</f>
        <v>3664</v>
      </c>
      <c r="AB16" s="374">
        <f>IF(ISNUMBER(Datos!R16),Datos!R16," - ")</f>
        <v>356</v>
      </c>
      <c r="AC16" s="374">
        <f t="shared" ref="AC16:AC22" si="8">IF(ISNUMBER(AA16+AB16),AA16+AB16," - ")</f>
        <v>4020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453</v>
      </c>
      <c r="AJ16" s="245" t="str">
        <f>IF(ISNUMBER(Datos!BW16),Datos!BW16," - ")</f>
        <v xml:space="preserve"> - </v>
      </c>
      <c r="AK16" s="246" t="str">
        <f>IF(ISNUMBER(Datos!BX16),Datos!BX16," - ")</f>
        <v xml:space="preserve"> - </v>
      </c>
      <c r="AL16" s="266">
        <f>IF(ISNUMBER(NºAsuntos!G16/NºAsuntos!E16),NºAsuntos!G16/NºAsuntos!E16," - ")</f>
        <v>0.96237096237096242</v>
      </c>
      <c r="AM16" s="284">
        <f>IF(ISNUMBER(((NºAsuntos!I16/NºAsuntos!G16)*11)/factor_trimestre),((NºAsuntos!I16/NºAsuntos!G16)*11)/factor_trimestre," - ")</f>
        <v>3.8034602076124568</v>
      </c>
      <c r="AN16" s="267">
        <f>IF(ISNUMBER('Resol  Asuntos'!D16/NºAsuntos!G16),'Resol  Asuntos'!D16/NºAsuntos!G16," - ")</f>
        <v>0.15674740484429064</v>
      </c>
      <c r="AO16" s="268">
        <f>IF(ISNUMBER((NºAsuntos!C16+NºAsuntos!E16)/NºAsuntos!G16),(NºAsuntos!C16+NºAsuntos!E16)/NºAsuntos!G16," - ")</f>
        <v>2.2560553633217992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8</v>
      </c>
      <c r="G17" s="373">
        <f>IF(ISNUMBER(IF(D_I="SI",Datos!I17,Datos!I17+Datos!AC17)),IF(D_I="SI",Datos!I17,Datos!I17+Datos!AC17)," - ")</f>
        <v>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8</v>
      </c>
      <c r="AB17" s="374">
        <f>IF(ISNUMBER(Datos!R17),Datos!R17," - ")</f>
        <v>0</v>
      </c>
      <c r="AC17" s="374">
        <f t="shared" si="8"/>
        <v>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328</v>
      </c>
      <c r="X18" s="240">
        <f>IF(ISNUMBER(Datos!Q18),Datos!Q18," - ")</f>
        <v>12</v>
      </c>
      <c r="Y18" s="374">
        <f t="shared" si="9"/>
        <v>340</v>
      </c>
      <c r="Z18" s="375" t="str">
        <f>IF(ISNUMBER(Datos!CC18),Datos!CC18," - ")</f>
        <v xml:space="preserve"> - </v>
      </c>
      <c r="AA18" s="372">
        <f>IF(ISNUMBER(Datos!L18),Datos!L18,"-")</f>
        <v>188</v>
      </c>
      <c r="AB18" s="374">
        <f>IF(ISNUMBER(Datos!R18),Datos!R18," - ")</f>
        <v>0</v>
      </c>
      <c r="AC18" s="374">
        <f t="shared" si="8"/>
        <v>188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70</v>
      </c>
      <c r="AJ18" s="245" t="str">
        <f>IF(ISNUMBER(Datos!BW18),Datos!BW18," - ")</f>
        <v xml:space="preserve"> - </v>
      </c>
      <c r="AK18" s="246" t="str">
        <f>IF(ISNUMBER(Datos!BX18),Datos!BX18," - ")</f>
        <v xml:space="preserve"> - </v>
      </c>
      <c r="AL18" s="266">
        <f>IF(ISNUMBER(NºAsuntos!G18/NºAsuntos!E18),NºAsuntos!G18/NºAsuntos!E18," - ")</f>
        <v>1.1006711409395973</v>
      </c>
      <c r="AM18" s="284">
        <f>IF(ISNUMBER(((NºAsuntos!I18/NºAsuntos!G18)*11)/factor_trimestre),((NºAsuntos!I18/NºAsuntos!G18)*11)/factor_trimestre," - ")</f>
        <v>1.7195121951219512</v>
      </c>
      <c r="AN18" s="267">
        <f>IF(ISNUMBER('Resol  Asuntos'!D18/NºAsuntos!G18),'Resol  Asuntos'!D18/NºAsuntos!G18," - ")</f>
        <v>0.21341463414634146</v>
      </c>
      <c r="AO18" s="268">
        <f>IF(ISNUMBER((NºAsuntos!C18+NºAsuntos!E18)/NºAsuntos!G18),(NºAsuntos!C18+NºAsuntos!E18)/NºAsuntos!G18," - ")</f>
        <v>1.5731707317073171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3559</v>
      </c>
      <c r="G23" s="1163">
        <f>SUBTOTAL(9,G16:G22)</f>
        <v>3743</v>
      </c>
      <c r="H23" s="1162">
        <f t="shared" ref="H23:O23" si="13">SUBTOTAL(9,H15:H22)</f>
        <v>0</v>
      </c>
      <c r="I23" s="1164">
        <f t="shared" si="13"/>
        <v>0</v>
      </c>
      <c r="J23" s="1164">
        <f t="shared" si="13"/>
        <v>0</v>
      </c>
      <c r="K23" s="1164">
        <f t="shared" si="13"/>
        <v>0</v>
      </c>
      <c r="L23" s="1164">
        <f t="shared" si="13"/>
        <v>112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3218</v>
      </c>
      <c r="X23" s="1164">
        <f t="shared" si="14"/>
        <v>89</v>
      </c>
      <c r="Y23" s="1165">
        <f t="shared" si="14"/>
        <v>3230</v>
      </c>
      <c r="Z23" s="1165">
        <f t="shared" si="14"/>
        <v>0</v>
      </c>
      <c r="AA23" s="1165">
        <f t="shared" si="14"/>
        <v>3860</v>
      </c>
      <c r="AB23" s="1165">
        <f t="shared" si="14"/>
        <v>356</v>
      </c>
      <c r="AC23" s="1165">
        <f t="shared" si="14"/>
        <v>4216</v>
      </c>
      <c r="AD23" s="1165">
        <f t="shared" si="14"/>
        <v>0</v>
      </c>
      <c r="AE23" s="1169">
        <f t="shared" si="14"/>
        <v>0</v>
      </c>
      <c r="AF23" s="1162">
        <f t="shared" si="14"/>
        <v>0</v>
      </c>
      <c r="AG23" s="1170">
        <f t="shared" si="14"/>
        <v>0</v>
      </c>
      <c r="AH23" s="1167">
        <f t="shared" si="14"/>
        <v>0</v>
      </c>
      <c r="AI23" s="1162">
        <f t="shared" si="14"/>
        <v>523</v>
      </c>
      <c r="AJ23" s="1164">
        <f t="shared" si="14"/>
        <v>0</v>
      </c>
      <c r="AK23" s="1167">
        <f t="shared" si="14"/>
        <v>0</v>
      </c>
      <c r="AL23" s="1171">
        <f>IF(ISNUMBER(NºAsuntos!G23/NºAsuntos!E23),NºAsuntos!G23/NºAsuntos!E23," - ")</f>
        <v>0.97485610421084523</v>
      </c>
      <c r="AM23" s="1171">
        <f>IF(ISNUMBER(((NºAsuntos!I23/NºAsuntos!G23)*11)/factor_trimestre),((NºAsuntos!I23/NºAsuntos!G23)*11)/factor_trimestre," - ")</f>
        <v>3.5985083903045374</v>
      </c>
      <c r="AN23" s="1172">
        <f>IF(ISNUMBER('Resol  Asuntos'!D23/NºAsuntos!G23),'Resol  Asuntos'!D23/NºAsuntos!G23," - ")</f>
        <v>0.1625233064014916</v>
      </c>
      <c r="AO23" s="1173">
        <f>IF(ISNUMBER((NºAsuntos!C23+NºAsuntos!E23)/NºAsuntos!G23),(NºAsuntos!C23+NºAsuntos!E23)/NºAsuntos!G23," - ")</f>
        <v>2.1889372280919828</v>
      </c>
      <c r="AP23" s="1174" t="str">
        <f t="shared" si="2"/>
        <v xml:space="preserve"> - </v>
      </c>
      <c r="AQ23" s="1174">
        <f>IF(ISNUMBER((H23-W23+K23)/(F23)),(H23-W23+K23)/(F23)," - ")</f>
        <v>-0.90418656926102836</v>
      </c>
      <c r="AR23" s="1175">
        <f>IF(ISNUMBER((Datos!P23-Datos!Q23)/(Datos!R23-Datos!P23+Datos!Q23)),(Datos!P23-Datos!Q23)/(Datos!R23-Datos!P23+Datos!Q23)," - ")</f>
        <v>6.9069069069069067E-2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3597</v>
      </c>
      <c r="G31" s="1118">
        <f t="shared" si="20"/>
        <v>3781</v>
      </c>
      <c r="H31" s="1117">
        <f t="shared" si="20"/>
        <v>0</v>
      </c>
      <c r="I31" s="1119">
        <f t="shared" si="20"/>
        <v>0</v>
      </c>
      <c r="J31" s="1119">
        <f t="shared" si="20"/>
        <v>0</v>
      </c>
      <c r="K31" s="1180">
        <f t="shared" si="20"/>
        <v>0</v>
      </c>
      <c r="L31" s="1119">
        <f t="shared" si="20"/>
        <v>578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3257</v>
      </c>
      <c r="X31" s="1118">
        <f t="shared" si="21"/>
        <v>319</v>
      </c>
      <c r="Y31" s="1125">
        <f t="shared" si="21"/>
        <v>3499</v>
      </c>
      <c r="Z31" s="1125">
        <f t="shared" si="21"/>
        <v>0</v>
      </c>
      <c r="AA31" s="1125">
        <f t="shared" si="21"/>
        <v>3892</v>
      </c>
      <c r="AB31" s="1125">
        <f t="shared" si="21"/>
        <v>12232</v>
      </c>
      <c r="AC31" s="1125">
        <f t="shared" si="21"/>
        <v>4322</v>
      </c>
      <c r="AD31" s="1125">
        <f t="shared" si="21"/>
        <v>0</v>
      </c>
      <c r="AE31" s="1127">
        <f t="shared" si="21"/>
        <v>0</v>
      </c>
      <c r="AF31" s="1128">
        <f t="shared" si="21"/>
        <v>0</v>
      </c>
      <c r="AG31" s="1129">
        <f t="shared" si="21"/>
        <v>0</v>
      </c>
      <c r="AH31" s="1127">
        <f t="shared" si="21"/>
        <v>0</v>
      </c>
      <c r="AI31" s="1117">
        <f t="shared" si="21"/>
        <v>1077</v>
      </c>
      <c r="AJ31" s="1117">
        <f t="shared" si="21"/>
        <v>0</v>
      </c>
      <c r="AK31" s="1127">
        <f t="shared" si="21"/>
        <v>0</v>
      </c>
      <c r="AL31" s="1183">
        <f>IF(ISNUMBER(NºAsuntos!G31/NºAsuntos!E31),NºAsuntos!G31/NºAsuntos!E31," - ")</f>
        <v>0.9728112175102599</v>
      </c>
      <c r="AM31" s="1184">
        <f>IF(ISNUMBER(((NºAsuntos!I31/NºAsuntos!G31)*11)/factor_trimestre),((NºAsuntos!I31/NºAsuntos!G31)*11)/factor_trimestre," - ")</f>
        <v>8.8729126384250296</v>
      </c>
      <c r="AN31" s="1184">
        <f>IF(ISNUMBER('Resol  Asuntos'!D31/NºAsuntos!G31),'Resol  Asuntos'!D31/NºAsuntos!G31," - ")</f>
        <v>0.18931270873615749</v>
      </c>
      <c r="AO31" s="1185">
        <f>IF(ISNUMBER((NºAsuntos!C31+NºAsuntos!E31)/NºAsuntos!G31),(NºAsuntos!C31+NºAsuntos!E31)/NºAsuntos!G31," - ")</f>
        <v>3.9516611003691335</v>
      </c>
      <c r="AP31" s="1186" t="str">
        <f t="shared" si="2"/>
        <v xml:space="preserve"> - </v>
      </c>
      <c r="AQ31" s="1187">
        <f>IF(OR(ISNUMBER(FIND("01",Criterios!A8,1)),ISNUMBER(FIND("02",Criterios!A8,1)),ISNUMBER(FIND("03",Criterios!A8,1)),ISNUMBER(FIND("04",Criterios!A8,1))),(I31-W31+K31)/(F31-K31),(H31-W31+K31)/(F31-K31))</f>
        <v>-0.90547678621073113</v>
      </c>
      <c r="AR31" s="1188">
        <f>IF(ISNUMBER((Datos!P31-Datos!Q31)/(Datos!R31-Datos!P31+Datos!Q31)),(Datos!P31-Datos!Q31)/(Datos!R31-Datos!P31+Datos!Q31)," - ")</f>
        <v>2.1632005345360396E-2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945.25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2.3295709014312749</v>
      </c>
      <c r="F33" s="276">
        <f>IF(ISNUMBER(STDEV(F8:F30)),STDEV(F8:F30),"-")</f>
        <v>1726.5407335947521</v>
      </c>
      <c r="G33" s="277">
        <f>IF(ISNUMBER(STDEV(G8:G30)),STDEV(G8:G30),"-")</f>
        <v>1659.6829946881853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1389.4616377781515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259.06721564532671</v>
      </c>
      <c r="AJ33" s="276">
        <f t="shared" si="25"/>
        <v>0</v>
      </c>
      <c r="AK33" s="278">
        <f t="shared" si="25"/>
        <v>0</v>
      </c>
      <c r="AL33" s="273">
        <f t="shared" si="25"/>
        <v>9.2815044811719913E-2</v>
      </c>
      <c r="AM33" s="274">
        <f t="shared" si="25"/>
        <v>6.7317426069353816</v>
      </c>
      <c r="AN33" s="274">
        <f t="shared" si="25"/>
        <v>0.21558176823033193</v>
      </c>
      <c r="AO33" s="275">
        <f t="shared" si="25"/>
        <v>2.2462468026303259</v>
      </c>
      <c r="AP33" s="317" t="str">
        <f t="shared" si="25"/>
        <v>-</v>
      </c>
      <c r="AQ33" s="318">
        <f t="shared" si="25"/>
        <v>8.6358399793394172E-2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r4Vb2ElZxheNeqreESyfxCEC+xL1KzyAu44sMb4BWLwxHxdMRvDffACs+I9+6ay8ZKOwlSV+sxZdOyiy1ZHQQ==" saltValue="0eT4KjEerARn7Byf5XeW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ARONA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-4.8824593128390596E-2</v>
      </c>
      <c r="I9" s="395">
        <f>IF(ISNUMBER((Tasas!C9-Datos!BE9)/Datos!BE9),(Tasas!C9-Datos!BE9)/Datos!BE9," - ")</f>
        <v>1.3669725377451794E-2</v>
      </c>
      <c r="J9" s="394">
        <f>IF(ISNUMBER((Tasas!D9-Datos!BF9)/Datos!BF9),(Tasas!D9-Datos!BF9)/Datos!BF9," - ")</f>
        <v>-0.43740071405648262</v>
      </c>
      <c r="K9" s="396">
        <f>IF(ISNUMBER((Tasas!E9-Datos!BG9)/Datos!BG9),(Tasas!E9-Datos!BG9)/Datos!BG9," - ")</f>
        <v>1.1481214964624002E-2</v>
      </c>
      <c r="M9" t="e">
        <f>IF(Monitorios="SI",Datos!CE9,0)</f>
        <v>#REF!</v>
      </c>
      <c r="N9" t="e">
        <f>IF(Monitorios="SI",Datos!CF9,0)</f>
        <v>#REF!</v>
      </c>
      <c r="O9" t="e">
        <f>IF(Monitorios="SI",Datos!CG9,0)</f>
        <v>#REF!</v>
      </c>
      <c r="P9" t="e">
        <f>IF(Monitorios="SI",Datos!CH9,0)</f>
        <v>#REF!</v>
      </c>
      <c r="Q9">
        <f>IF(J_V="SI",0,Datos!AG9)</f>
        <v>284</v>
      </c>
      <c r="R9">
        <f>IF(J_V="SI",0,Datos!AH9)</f>
        <v>142</v>
      </c>
      <c r="S9">
        <f>IF(J_V="SI",0,Datos!AI9)</f>
        <v>90</v>
      </c>
      <c r="T9">
        <f>IF(J_V="SI",0,Datos!AJ9)</f>
        <v>336</v>
      </c>
    </row>
    <row r="10" spans="2:20" ht="14.25">
      <c r="B10" s="300" t="s">
        <v>321</v>
      </c>
      <c r="C10" s="7" t="str">
        <f>Datos!A10</f>
        <v>Jdos. Violencia contra la mujer</v>
      </c>
      <c r="D10" s="397">
        <f>IF(ISNUMBER((Datos!I10-Datos!S10)/Datos!S10),(Datos!I10-Datos!S10)/Datos!S10," - ")</f>
        <v>-0.3559322033898305</v>
      </c>
      <c r="E10" s="393">
        <f>IF(ISNUMBER((Datos!J10-Datos!T10)/Datos!T10),(Datos!J10-Datos!T10)/Datos!T10," - ")</f>
        <v>-0.45901639344262296</v>
      </c>
      <c r="F10" s="393">
        <f>IF(ISNUMBER((Datos!K10-Datos!U10)/Datos!U10),(Datos!K10-Datos!U10)/Datos!U10," - ")</f>
        <v>-0.51851851851851849</v>
      </c>
      <c r="G10" s="394">
        <f>IF(ISNUMBER((Datos!L10-Datos!V10)/Datos!V10),(Datos!L10-Datos!V10)/Datos!V10," - ")</f>
        <v>-0.17948717948717949</v>
      </c>
      <c r="H10" s="244">
        <f>IF(ISNUMBER((Datos!M10-Datos!W10)/Datos!W10),(Datos!M10-Datos!W10)/Datos!W10," - ")</f>
        <v>-0.22222222222222221</v>
      </c>
      <c r="I10" s="395">
        <f>IF(ISNUMBER((Tasas!C10-Datos!BE10)/Datos!BE10),(Tasas!C10-Datos!BE10)/Datos!BE10," - ")</f>
        <v>0.70414201183431957</v>
      </c>
      <c r="J10" s="394">
        <f>IF(ISNUMBER((Tasas!D10-Datos!BF10)/Datos!BF10),(Tasas!D10-Datos!BF10)/Datos!BF10," - ")</f>
        <v>0.61538461538461553</v>
      </c>
      <c r="K10" s="396">
        <f>IF(ISNUMBER((Tasas!E10-Datos!BG10)/Datos!BG10),(Tasas!E10-Datos!BG10)/Datos!BG10," - ")</f>
        <v>0.22884615384615389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1</v>
      </c>
      <c r="R12">
        <f>IF(J_V="SI",0,Datos!AH12)</f>
        <v>0</v>
      </c>
      <c r="S12">
        <f>IF(J_V="SI",0,Datos!AI12)</f>
        <v>0</v>
      </c>
      <c r="T12">
        <f>IF(J_V="SI",0,Datos!AJ12)</f>
        <v>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-5.9422750424448216E-2</v>
      </c>
      <c r="I14" s="402">
        <f>IF(ISNUMBER((Tasas!C14-Datos!BE14)/Datos!BE14),(Tasas!C14-Datos!BE14)/Datos!BE14," - ")</f>
        <v>3.4409406438162204E-2</v>
      </c>
      <c r="J14" s="400">
        <f>IF(ISNUMBER((Tasas!D14-Datos!BF14)/Datos!BF14),(Tasas!D14-Datos!BF14)/Datos!BF14," - ")</f>
        <v>-0.42011634020053179</v>
      </c>
      <c r="K14" s="403">
        <f>IF(ISNUMBER((Tasas!E14-Datos!BG14)/Datos!BG14),(Tasas!E14-Datos!BG14)/Datos!BG14," - ")</f>
        <v>2.8743179152621774E-2</v>
      </c>
      <c r="M14" t="e">
        <f>IF(Monitorios="SI",Datos!CE14,0)</f>
        <v>#REF!</v>
      </c>
      <c r="N14" t="e">
        <f>IF(Monitorios="SI",Datos!CF14,0)</f>
        <v>#REF!</v>
      </c>
      <c r="O14" t="e">
        <f>IF(Monitorios="SI",Datos!CG14,0)</f>
        <v>#REF!</v>
      </c>
      <c r="P14" t="e">
        <f>IF(Monitorios="SI",Datos!CH14,0)</f>
        <v>#REF!</v>
      </c>
      <c r="Q14">
        <f>IF(J_V="SI",0,Datos!AG14)</f>
        <v>285</v>
      </c>
      <c r="R14">
        <f>IF(J_V="SI",0,Datos!AH14)</f>
        <v>142</v>
      </c>
      <c r="S14">
        <f>IF(J_V="SI",0,Datos!AI14)</f>
        <v>90</v>
      </c>
      <c r="T14">
        <f>IF(J_V="SI",0,Datos!AJ14)</f>
        <v>337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8.0823601720958815E-2</v>
      </c>
      <c r="E16" s="393">
        <f>IF(ISNUMBER(
   IF(D_I="SI",(Datos!J16-Datos!T16)/Datos!T16,(Datos!J16+Datos!AD16-(Datos!T16+Datos!AL16))/(Datos!T16+Datos!AL16))
     ),IF(D_I="SI",(Datos!J16-Datos!T16)/Datos!T16,(Datos!J16+Datos!AD16-(Datos!T16+Datos!AL16))/(Datos!T16+Datos!AL16))," - ")</f>
        <v>2.0387359836901122E-2</v>
      </c>
      <c r="F16" s="393">
        <f>IF(ISNUMBER(
   IF(D_I="SI",(Datos!K16-Datos!U16)/Datos!U16,(Datos!K16+Datos!AE16-(Datos!U16+Datos!AM16))/(Datos!U16+Datos!AM16))
     ),IF(D_I="SI",(Datos!K16-Datos!U16)/Datos!U16,(Datos!K16+Datos!AE16-(Datos!U16+Datos!AM16))/(Datos!U16+Datos!AM16))," - ")</f>
        <v>-1.7271157167530224E-3</v>
      </c>
      <c r="G16" s="394">
        <f>IF(ISNUMBER(
   IF(D_I="SI",(Datos!L16-Datos!V16)/Datos!V16,(Datos!L16+Datos!AF16-(Datos!V16+Datos!AN16))/(Datos!V16+Datos!AN16))
     ),IF(D_I="SI",(Datos!L16-Datos!V16)/Datos!V16,(Datos!L16+Datos!AF16-(Datos!V16+Datos!AN16))/(Datos!V16+Datos!AN16))," - ")</f>
        <v>9.9309930993099316E-2</v>
      </c>
      <c r="H16" s="244">
        <f>IF(ISNUMBER((Datos!M16-Datos!W16)/Datos!W16),(Datos!M16-Datos!W16)/Datos!W16," - ")</f>
        <v>0.13250000000000001</v>
      </c>
      <c r="I16" s="395">
        <f>IF(ISNUMBER((Tasas!C16-Datos!BE16)/Datos!BE16),(Tasas!C16-Datos!BE16)/Datos!BE16," - ")</f>
        <v>0.1012118512889353</v>
      </c>
      <c r="J16" s="394">
        <f>IF(ISNUMBER((Tasas!D16-Datos!BF16)/Datos!BF16),(Tasas!D16-Datos!BF16)/Datos!BF16," - ")</f>
        <v>0.13445934256055353</v>
      </c>
      <c r="K16" s="396">
        <f>IF(ISNUMBER((Tasas!E16-Datos!BG16)/Datos!BG16),(Tasas!E16-Datos!BG16)/Datos!BG16," - ")</f>
        <v>5.3942274780798535E-2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0.15343915343915343</v>
      </c>
      <c r="E18" s="393">
        <f>IF(ISNUMBER(
   IF(D_I="SI",(Datos!J18-Datos!T18)/Datos!T18,(Datos!J18+Datos!AD18-(Datos!T18+Datos!AL18))/(Datos!T18+Datos!AL18))
     ),IF(D_I="SI",(Datos!J18-Datos!T18)/Datos!T18,(Datos!J18+Datos!AD18-(Datos!T18+Datos!AL18))/(Datos!T18+Datos!AL18))," - ")</f>
        <v>0.21632653061224491</v>
      </c>
      <c r="F18" s="393">
        <f>IF(ISNUMBER(
   IF(D_I="SI",(Datos!K18-Datos!U18)/Datos!U18,(Datos!K18+Datos!AE18-(Datos!U18+Datos!AM18))/(Datos!U18+Datos!AM18))
     ),IF(D_I="SI",(Datos!K18-Datos!U18)/Datos!U18,(Datos!K18+Datos!AE18-(Datos!U18+Datos!AM18))/(Datos!U18+Datos!AM18))," - ")</f>
        <v>0.28125</v>
      </c>
      <c r="G18" s="394">
        <f>IF(ISNUMBER(
   IF(D_I="SI",(Datos!L18-Datos!V18)/Datos!V18,(Datos!L18+Datos!AF18-(Datos!V18+Datos!AN18))/(Datos!V18+Datos!AN18))
     ),IF(D_I="SI",(Datos!L18-Datos!V18)/Datos!V18,(Datos!L18+Datos!AF18-(Datos!V18+Datos!AN18))/(Datos!V18+Datos!AN18))," - ")</f>
        <v>5.6179775280898875E-2</v>
      </c>
      <c r="H18" s="244">
        <f>IF(ISNUMBER((Datos!M18-Datos!W18)/Datos!W18),(Datos!M18-Datos!W18)/Datos!W18," - ")</f>
        <v>0.34615384615384615</v>
      </c>
      <c r="I18" s="395">
        <f>IF(ISNUMBER((Tasas!C18-Datos!BE18)/Datos!BE18),(Tasas!C18-Datos!BE18)/Datos!BE18," - ")</f>
        <v>-0.17566456563442046</v>
      </c>
      <c r="J18" s="394">
        <f>IF(ISNUMBER((Tasas!D18-Datos!BF18)/Datos!BF18),(Tasas!D18-Datos!BF18)/Datos!BF18," - ")</f>
        <v>5.0656660412757952E-2</v>
      </c>
      <c r="K18" s="396">
        <f>IF(ISNUMBER((Tasas!E18-Datos!BG18)/Datos!BG18),(Tasas!E18-Datos!BG18)/Datos!BG18," - ")</f>
        <v>-7.2046757333932746E-2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8.4613155607070417E-2</v>
      </c>
      <c r="E23" s="399">
        <f>IF(ISNUMBER(
   IF(D_I="SI",(Datos!J23-Datos!T23)/Datos!T23,(Datos!J23+Datos!AD23-(Datos!T23+Datos!AL23))/(Datos!T23+Datos!AL23))
     ),IF(D_I="SI",(Datos!J23-Datos!T23)/Datos!T23,(Datos!J23+Datos!AD23-(Datos!T23+Datos!AL23))/(Datos!T23+Datos!AL23))," - ")</f>
        <v>3.5445420326223338E-2</v>
      </c>
      <c r="F23" s="399">
        <f>IF(ISNUMBER(
   IF(D_I="SI",(Datos!K23-Datos!U23)/Datos!U23,(Datos!K23+Datos!AE23-(Datos!U23+Datos!AM23))/(Datos!U23+Datos!AM23))
     ),IF(D_I="SI",(Datos!K23-Datos!U23)/Datos!U23,(Datos!K23+Datos!AE23-(Datos!U23+Datos!AM23))/(Datos!U23+Datos!AM23))," - ")</f>
        <v>2.126309108219613E-2</v>
      </c>
      <c r="G23" s="400">
        <f>IF(ISNUMBER(
   IF(D_I="SI",(Datos!L23-Datos!V23)/Datos!V23,(Datos!L23+Datos!AF23-(Datos!V23+Datos!AN23))/(Datos!V23+Datos!AN23))
     ),IF(D_I="SI",(Datos!L23-Datos!V23)/Datos!V23,(Datos!L23+Datos!AF23-(Datos!V23+Datos!AN23))/(Datos!V23+Datos!AN23))," - ")</f>
        <v>9.6902529127593062E-2</v>
      </c>
      <c r="H23" s="401">
        <f>IF(ISNUMBER((Datos!M23-Datos!W23)/Datos!W23),(Datos!M23-Datos!W23)/Datos!W23," - ")</f>
        <v>0.15707964601769911</v>
      </c>
      <c r="I23" s="402">
        <f>IF(ISNUMBER((Tasas!C23-Datos!BE23)/Datos!BE23),(Tasas!C23-Datos!BE23)/Datos!BE23," - ")</f>
        <v>7.4064595798957647E-2</v>
      </c>
      <c r="J23" s="400">
        <f>IF(ISNUMBER((Tasas!D23-Datos!BF23)/Datos!BF23),(Tasas!D23-Datos!BF23)/Datos!BF23," - ")</f>
        <v>0.13298880192721252</v>
      </c>
      <c r="K23" s="403">
        <f>IF(ISNUMBER((Tasas!E23-Datos!BG23)/Datos!BG23),(Tasas!E23-Datos!BG23)/Datos!BG23," - ")</f>
        <v>3.8912668431666984E-2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0.21826704753534021</v>
      </c>
      <c r="E31" s="409">
        <f>IF(ISNUMBER(
   IF(J_V="SI",(Datos!J31-Datos!T31)/Datos!T31,(Datos!J31+Datos!Z31-(Datos!T31+Datos!AH31))/(Datos!T31+Datos!AH31))
     ),IF(J_V="SI",(Datos!J31-Datos!T31)/Datos!T31,(Datos!J31+Datos!Z31-(Datos!T31+Datos!AH31))/(Datos!T31+Datos!AH31))," - ")</f>
        <v>-9.0654641579847609E-2</v>
      </c>
      <c r="F31" s="409">
        <f>IF(ISNUMBER(
   IF(J_V="SI",(Datos!K31-Datos!U31)/Datos!U31,(Datos!K31+Datos!AA31-(Datos!U31+Datos!AI31))/(Datos!U31+Datos!AI31))
     ),IF(J_V="SI",(Datos!K31-Datos!U31)/Datos!U31,(Datos!K31+Datos!AA31-(Datos!U31+Datos!AI31))/(Datos!U31+Datos!AI31))," - ")</f>
        <v>6.0391425908667286E-2</v>
      </c>
      <c r="G31" s="410">
        <f>IF(ISNUMBER(
   IF(J_V="SI",(Datos!L31-Datos!V31)/Datos!V31,(Datos!L31+Datos!AB31-(Datos!V31+Datos!AJ31))/(Datos!V31+Datos!AJ31))
     ),IF(J_V="SI",(Datos!L31-Datos!V31)/Datos!V31,(Datos!L31+Datos!AB31-(Datos!V31+Datos!AJ31))/(Datos!V31+Datos!AJ31))," - ")</f>
        <v>0.1407457627118644</v>
      </c>
      <c r="H31" s="411">
        <f>IF(ISNUMBER((Datos!M31-Datos!W31)/Datos!W31),(Datos!M31-Datos!W31)/Datos!W31," - ")</f>
        <v>3.4582132564841501E-2</v>
      </c>
      <c r="I31" s="408">
        <f>IF(ISNUMBER((Tasas!C31-Datos!BE31)/Datos!BE31),(Tasas!C31-Datos!BE31)/Datos!BE31," - ")</f>
        <v>7.5777995596616646E-2</v>
      </c>
      <c r="J31" s="409">
        <f>IF(ISNUMBER((Tasas!D31-Datos!BF31)/Datos!BF31),(Tasas!D31-Datos!BF31)/Datos!BF31," - ")</f>
        <v>-0.22349947831079137</v>
      </c>
      <c r="K31" s="410">
        <f>IF(ISNUMBER((Tasas!E31-Datos!BG31)/Datos!BG31),(Tasas!E31-Datos!BG31)/Datos!BG31," - ")</f>
        <v>5.5599571971738732E-2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0.20226746781824009</v>
      </c>
      <c r="E33" s="303">
        <f t="shared" si="1"/>
        <v>0.2889269499506153</v>
      </c>
      <c r="F33" s="303">
        <f t="shared" si="1"/>
        <v>0.33494589285969334</v>
      </c>
      <c r="G33" s="304">
        <f t="shared" si="1"/>
        <v>0.11571662354700463</v>
      </c>
      <c r="H33" s="310">
        <f t="shared" si="1"/>
        <v>0.20090762047195806</v>
      </c>
      <c r="I33" s="302">
        <f t="shared" si="1"/>
        <v>0.29985512102094936</v>
      </c>
      <c r="J33" s="303">
        <f t="shared" si="1"/>
        <v>0.39595070793304243</v>
      </c>
      <c r="K33" s="304">
        <f t="shared" si="1"/>
        <v>9.8932607433621658E-2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MpKmIhOdY9qOuBpL2ASw8nVO7ioOc1vuCjIlnAJbxah0xe9ks6Cr0yrcMhL/aQC4u3HUWm4g5tzqMpNX0C5Fg==" saltValue="coIw3YJhE1Q0rpZOOniVt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